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aaustralia.sharepoint.com/doc_t/Salary Survey/2025/Communcations/"/>
    </mc:Choice>
  </mc:AlternateContent>
  <xr:revisionPtr revIDLastSave="2" documentId="8_{A0305907-1096-47BA-9362-BC3D1DAFF84E}" xr6:coauthVersionLast="47" xr6:coauthVersionMax="47" xr10:uidLastSave="{61BC410B-3240-475C-BB96-825C61660BBE}"/>
  <bookViews>
    <workbookView xWindow="28680" yWindow="-120" windowWidth="29040" windowHeight="15720" tabRatio="819" activeTab="7" xr2:uid="{F0BE2654-674D-4D63-A922-273C5588E85C}"/>
  </bookViews>
  <sheets>
    <sheet name="Instructions" sheetId="9" r:id="rId1"/>
    <sheet name="Input - Architecture" sheetId="1" r:id="rId2"/>
    <sheet name="Input - Technical" sheetId="4" r:id="rId3"/>
    <sheet name="Input - Interior Design" sheetId="5" r:id="rId4"/>
    <sheet name="Input - Admin &amp; Management" sheetId="6" r:id="rId5"/>
    <sheet name="Input - Students" sheetId="8" r:id="rId6"/>
    <sheet name="SURVEY INPUT" sheetId="7" r:id="rId7"/>
    <sheet name="Data" sheetId="2" r:id="rId8"/>
  </sheets>
  <definedNames>
    <definedName name="_xlnm._FilterDatabase" localSheetId="4" hidden="1">'Input - Admin &amp; Management'!$B$2:$F$8</definedName>
    <definedName name="_xlnm._FilterDatabase" localSheetId="1" hidden="1">'Input - Architecture'!$B$2:$F$33</definedName>
    <definedName name="_xlnm._FilterDatabase" localSheetId="3" hidden="1">'Input - Interior Design'!$B$2:$F$4</definedName>
    <definedName name="_xlnm._FilterDatabase" localSheetId="5" hidden="1">'Input - Students'!$B$2:$F$8</definedName>
    <definedName name="_xlnm._FilterDatabase" localSheetId="2" hidden="1">'Input - Technical'!$B$2:$F$4</definedName>
    <definedName name="_xlcn.WorksheetConnection_ACASalarySurveyInputSheet.xlsxTable1121" hidden="1">Table112[]</definedName>
    <definedName name="Table112_1" localSheetId="7" hidden="1">Data!#REF!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12" name="Table112" connection="WorksheetConnection_ACA Salary Survey Input Sheet.xlsx!Table11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2" i="7" l="1"/>
  <c r="Z32" i="7"/>
  <c r="V32" i="7"/>
  <c r="R32" i="7"/>
  <c r="N32" i="7"/>
  <c r="J32" i="7"/>
  <c r="F32" i="7"/>
  <c r="B32" i="7"/>
  <c r="F31" i="7"/>
  <c r="B31" i="7"/>
  <c r="J31" i="7"/>
  <c r="N31" i="7"/>
  <c r="R31" i="7"/>
  <c r="V31" i="7"/>
  <c r="Z31" i="7"/>
  <c r="AD31" i="7"/>
  <c r="AD27" i="7"/>
  <c r="AG89" i="7"/>
  <c r="AF89" i="7"/>
  <c r="AE89" i="7"/>
  <c r="AD89" i="7"/>
  <c r="AG82" i="7"/>
  <c r="AF82" i="7"/>
  <c r="AE82" i="7"/>
  <c r="AD82" i="7"/>
  <c r="AG81" i="7"/>
  <c r="AF81" i="7"/>
  <c r="AE81" i="7"/>
  <c r="AD81" i="7"/>
  <c r="AG80" i="7"/>
  <c r="AF80" i="7"/>
  <c r="AE80" i="7"/>
  <c r="AD80" i="7"/>
  <c r="AG79" i="7"/>
  <c r="AF79" i="7"/>
  <c r="AE79" i="7"/>
  <c r="AD79" i="7"/>
  <c r="AG78" i="7"/>
  <c r="AF78" i="7"/>
  <c r="AE78" i="7"/>
  <c r="AD78" i="7"/>
  <c r="AG77" i="7"/>
  <c r="AF77" i="7"/>
  <c r="AE77" i="7"/>
  <c r="AD77" i="7"/>
  <c r="AG76" i="7"/>
  <c r="AF76" i="7"/>
  <c r="AE76" i="7"/>
  <c r="AD76" i="7"/>
  <c r="AG75" i="7"/>
  <c r="AF75" i="7"/>
  <c r="AE75" i="7"/>
  <c r="AD75" i="7"/>
  <c r="AG74" i="7"/>
  <c r="AF74" i="7"/>
  <c r="AE74" i="7"/>
  <c r="AD74" i="7"/>
  <c r="AG73" i="7"/>
  <c r="AF73" i="7"/>
  <c r="AE73" i="7"/>
  <c r="AD73" i="7"/>
  <c r="AG72" i="7"/>
  <c r="AF72" i="7"/>
  <c r="AE72" i="7"/>
  <c r="AD72" i="7"/>
  <c r="AG71" i="7"/>
  <c r="AF71" i="7"/>
  <c r="AE71" i="7"/>
  <c r="AD71" i="7"/>
  <c r="AG70" i="7"/>
  <c r="AF70" i="7"/>
  <c r="AE70" i="7"/>
  <c r="AD70" i="7"/>
  <c r="AG69" i="7"/>
  <c r="AF69" i="7"/>
  <c r="AE69" i="7"/>
  <c r="AD69" i="7"/>
  <c r="AG68" i="7"/>
  <c r="AF68" i="7"/>
  <c r="AE68" i="7"/>
  <c r="AD68" i="7"/>
  <c r="AG67" i="7"/>
  <c r="AF67" i="7"/>
  <c r="AE67" i="7"/>
  <c r="AD67" i="7"/>
  <c r="AG66" i="7"/>
  <c r="AF66" i="7"/>
  <c r="AE66" i="7"/>
  <c r="AD66" i="7"/>
  <c r="AG65" i="7"/>
  <c r="AF65" i="7"/>
  <c r="AE65" i="7"/>
  <c r="AD65" i="7"/>
  <c r="AG64" i="7"/>
  <c r="AF64" i="7"/>
  <c r="AE64" i="7"/>
  <c r="AD64" i="7"/>
  <c r="AG63" i="7"/>
  <c r="AF63" i="7"/>
  <c r="AD63" i="7"/>
  <c r="AG62" i="7"/>
  <c r="AF62" i="7"/>
  <c r="AE62" i="7"/>
  <c r="AD62" i="7"/>
  <c r="AG61" i="7"/>
  <c r="AF61" i="7"/>
  <c r="AE61" i="7"/>
  <c r="AD61" i="7"/>
  <c r="AG60" i="7"/>
  <c r="AF60" i="7"/>
  <c r="AE60" i="7"/>
  <c r="AD60" i="7"/>
  <c r="AG59" i="7"/>
  <c r="AF59" i="7"/>
  <c r="AE59" i="7"/>
  <c r="AD59" i="7"/>
  <c r="AG52" i="7"/>
  <c r="AF52" i="7"/>
  <c r="AE52" i="7"/>
  <c r="AD52" i="7"/>
  <c r="AG51" i="7"/>
  <c r="AF51" i="7"/>
  <c r="AE51" i="7"/>
  <c r="AD51" i="7"/>
  <c r="AG50" i="7"/>
  <c r="AF50" i="7"/>
  <c r="AE50" i="7"/>
  <c r="AD50" i="7"/>
  <c r="AG49" i="7"/>
  <c r="AF49" i="7"/>
  <c r="AE49" i="7"/>
  <c r="AD49" i="7"/>
  <c r="AG48" i="7"/>
  <c r="AF48" i="7"/>
  <c r="AE48" i="7"/>
  <c r="AD48" i="7"/>
  <c r="AG47" i="7"/>
  <c r="AF47" i="7"/>
  <c r="AE47" i="7"/>
  <c r="AD47" i="7"/>
  <c r="AG46" i="7"/>
  <c r="AF46" i="7"/>
  <c r="AE46" i="7"/>
  <c r="AD46" i="7"/>
  <c r="AG45" i="7"/>
  <c r="AF45" i="7"/>
  <c r="AE45" i="7"/>
  <c r="AD45" i="7"/>
  <c r="AG38" i="7"/>
  <c r="AE38" i="7"/>
  <c r="AD38" i="7"/>
  <c r="AG37" i="7"/>
  <c r="AF37" i="7"/>
  <c r="AE37" i="7"/>
  <c r="AD37" i="7"/>
  <c r="AG36" i="7"/>
  <c r="AF36" i="7"/>
  <c r="AE36" i="7"/>
  <c r="AD36" i="7"/>
  <c r="AG35" i="7"/>
  <c r="AF35" i="7"/>
  <c r="AE35" i="7"/>
  <c r="AD35" i="7"/>
  <c r="AG34" i="7"/>
  <c r="AF34" i="7"/>
  <c r="AE34" i="7"/>
  <c r="AD34" i="7"/>
  <c r="AG33" i="7"/>
  <c r="AF33" i="7"/>
  <c r="AE33" i="7"/>
  <c r="AD33" i="7"/>
  <c r="AG32" i="7"/>
  <c r="AF32" i="7"/>
  <c r="AE32" i="7"/>
  <c r="AG30" i="7"/>
  <c r="AF30" i="7"/>
  <c r="AE30" i="7"/>
  <c r="AD30" i="7"/>
  <c r="AD29" i="7"/>
  <c r="AG28" i="7"/>
  <c r="AF28" i="7"/>
  <c r="AE28" i="7"/>
  <c r="AD28" i="7"/>
  <c r="AG27" i="7"/>
  <c r="AF27" i="7"/>
  <c r="AE27" i="7"/>
  <c r="AG21" i="7"/>
  <c r="AF21" i="7"/>
  <c r="AE21" i="7"/>
  <c r="AD21" i="7"/>
  <c r="AG20" i="7"/>
  <c r="AF20" i="7"/>
  <c r="AE20" i="7"/>
  <c r="AD20" i="7"/>
  <c r="AG19" i="7"/>
  <c r="AF19" i="7"/>
  <c r="AE19" i="7"/>
  <c r="AD19" i="7"/>
  <c r="AG18" i="7"/>
  <c r="AF18" i="7"/>
  <c r="AE18" i="7"/>
  <c r="AD18" i="7"/>
  <c r="AG17" i="7"/>
  <c r="AF17" i="7"/>
  <c r="AE17" i="7"/>
  <c r="AD17" i="7"/>
  <c r="AG16" i="7"/>
  <c r="AF16" i="7"/>
  <c r="AE16" i="7"/>
  <c r="AD16" i="7"/>
  <c r="AG15" i="7"/>
  <c r="AF15" i="7"/>
  <c r="AE15" i="7"/>
  <c r="AD15" i="7"/>
  <c r="AG14" i="7"/>
  <c r="AF14" i="7"/>
  <c r="AE14" i="7"/>
  <c r="AD14" i="7"/>
  <c r="AG13" i="7"/>
  <c r="AF13" i="7"/>
  <c r="AE13" i="7"/>
  <c r="AD13" i="7"/>
  <c r="AG12" i="7"/>
  <c r="AF12" i="7"/>
  <c r="AE12" i="7"/>
  <c r="AD12" i="7"/>
  <c r="AG11" i="7"/>
  <c r="AF11" i="7"/>
  <c r="AE11" i="7"/>
  <c r="AD11" i="7"/>
  <c r="AG10" i="7"/>
  <c r="AF10" i="7"/>
  <c r="AE10" i="7"/>
  <c r="AD10" i="7"/>
  <c r="AG9" i="7"/>
  <c r="AF9" i="7"/>
  <c r="AE9" i="7"/>
  <c r="AD9" i="7"/>
  <c r="AG8" i="7"/>
  <c r="AF8" i="7"/>
  <c r="AE8" i="7"/>
  <c r="AD8" i="7"/>
  <c r="AG7" i="7"/>
  <c r="AF7" i="7"/>
  <c r="AE7" i="7"/>
  <c r="AD7" i="7"/>
  <c r="AG6" i="7"/>
  <c r="AF6" i="7"/>
  <c r="AE6" i="7"/>
  <c r="AD6" i="7"/>
  <c r="AG5" i="7"/>
  <c r="AF5" i="7"/>
  <c r="AE5" i="7"/>
  <c r="AD5" i="7"/>
  <c r="AG4" i="7"/>
  <c r="AF4" i="7"/>
  <c r="AE4" i="7"/>
  <c r="AD4" i="7"/>
  <c r="AE63" i="7"/>
  <c r="AF38" i="7"/>
  <c r="B6" i="7"/>
  <c r="D3" i="1"/>
  <c r="AC89" i="7"/>
  <c r="AB89" i="7"/>
  <c r="AA89" i="7"/>
  <c r="Z89" i="7"/>
  <c r="Y89" i="7"/>
  <c r="X89" i="7"/>
  <c r="W89" i="7"/>
  <c r="V89" i="7"/>
  <c r="U89" i="7"/>
  <c r="T89" i="7"/>
  <c r="S89" i="7"/>
  <c r="R89" i="7"/>
  <c r="N89" i="7"/>
  <c r="J89" i="7"/>
  <c r="F89" i="7"/>
  <c r="B89" i="7"/>
  <c r="B81" i="7"/>
  <c r="D50" i="8"/>
  <c r="F50" i="8" s="1"/>
  <c r="D49" i="8"/>
  <c r="F49" i="8" s="1"/>
  <c r="D48" i="8"/>
  <c r="F48" i="8" s="1"/>
  <c r="D47" i="8"/>
  <c r="F47" i="8" s="1"/>
  <c r="D46" i="8"/>
  <c r="F46" i="8" s="1"/>
  <c r="D45" i="8"/>
  <c r="F45" i="8" s="1"/>
  <c r="D44" i="8"/>
  <c r="F44" i="8" s="1"/>
  <c r="D43" i="8"/>
  <c r="F43" i="8" s="1"/>
  <c r="D42" i="8"/>
  <c r="F42" i="8" s="1"/>
  <c r="D41" i="8"/>
  <c r="F41" i="8" s="1"/>
  <c r="D40" i="8"/>
  <c r="F40" i="8" s="1"/>
  <c r="D39" i="8"/>
  <c r="F39" i="8" s="1"/>
  <c r="D38" i="8"/>
  <c r="F38" i="8" s="1"/>
  <c r="D37" i="8"/>
  <c r="F37" i="8" s="1"/>
  <c r="D36" i="8"/>
  <c r="F36" i="8" s="1"/>
  <c r="D35" i="8"/>
  <c r="F35" i="8" s="1"/>
  <c r="D34" i="8"/>
  <c r="F34" i="8" s="1"/>
  <c r="D33" i="8"/>
  <c r="F33" i="8" s="1"/>
  <c r="D32" i="8"/>
  <c r="F32" i="8" s="1"/>
  <c r="D31" i="8"/>
  <c r="F31" i="8" s="1"/>
  <c r="D30" i="8"/>
  <c r="F30" i="8" s="1"/>
  <c r="D29" i="8"/>
  <c r="F29" i="8" s="1"/>
  <c r="D28" i="8"/>
  <c r="F28" i="8" s="1"/>
  <c r="D27" i="8"/>
  <c r="F27" i="8" s="1"/>
  <c r="D26" i="8"/>
  <c r="F26" i="8" s="1"/>
  <c r="D25" i="8"/>
  <c r="F25" i="8" s="1"/>
  <c r="D24" i="8"/>
  <c r="F24" i="8" s="1"/>
  <c r="D23" i="8"/>
  <c r="F23" i="8" s="1"/>
  <c r="D22" i="8"/>
  <c r="F22" i="8" s="1"/>
  <c r="D21" i="8"/>
  <c r="F21" i="8" s="1"/>
  <c r="D20" i="8"/>
  <c r="F20" i="8" s="1"/>
  <c r="D19" i="8"/>
  <c r="F19" i="8" s="1"/>
  <c r="D18" i="8"/>
  <c r="F18" i="8" s="1"/>
  <c r="D17" i="8"/>
  <c r="F17" i="8" s="1"/>
  <c r="D16" i="8"/>
  <c r="F16" i="8" s="1"/>
  <c r="D15" i="8"/>
  <c r="F15" i="8" s="1"/>
  <c r="D14" i="8"/>
  <c r="F14" i="8" s="1"/>
  <c r="D13" i="8"/>
  <c r="F13" i="8" s="1"/>
  <c r="D12" i="8"/>
  <c r="F12" i="8" s="1"/>
  <c r="D11" i="8"/>
  <c r="F11" i="8" s="1"/>
  <c r="D10" i="8"/>
  <c r="F10" i="8" s="1"/>
  <c r="D9" i="8"/>
  <c r="F9" i="8" s="1"/>
  <c r="D8" i="8"/>
  <c r="F8" i="8" s="1"/>
  <c r="Q89" i="7" s="1"/>
  <c r="D7" i="8"/>
  <c r="F7" i="8" s="1"/>
  <c r="K89" i="7" s="1"/>
  <c r="D6" i="8"/>
  <c r="F6" i="8" s="1"/>
  <c r="D5" i="8"/>
  <c r="F5" i="8" s="1"/>
  <c r="D4" i="8"/>
  <c r="F4" i="8" s="1"/>
  <c r="D3" i="8"/>
  <c r="F3" i="8" s="1"/>
  <c r="I89" i="7" s="1"/>
  <c r="D3" i="6"/>
  <c r="F3" i="6" s="1"/>
  <c r="D4" i="6"/>
  <c r="F4" i="6" s="1"/>
  <c r="D5" i="6"/>
  <c r="F5" i="6" s="1"/>
  <c r="D6" i="6"/>
  <c r="F6" i="6" s="1"/>
  <c r="D7" i="6"/>
  <c r="F7" i="6" s="1"/>
  <c r="D8" i="6"/>
  <c r="F8" i="6" s="1"/>
  <c r="D9" i="6"/>
  <c r="F9" i="6" s="1"/>
  <c r="D10" i="6"/>
  <c r="F10" i="6" s="1"/>
  <c r="D11" i="6"/>
  <c r="F11" i="6" s="1"/>
  <c r="I63" i="7" s="1"/>
  <c r="D12" i="6"/>
  <c r="F12" i="6" s="1"/>
  <c r="D13" i="6"/>
  <c r="F13" i="6" s="1"/>
  <c r="D14" i="6"/>
  <c r="F14" i="6" s="1"/>
  <c r="D15" i="6"/>
  <c r="F15" i="6" s="1"/>
  <c r="D16" i="6"/>
  <c r="F16" i="6" s="1"/>
  <c r="D17" i="6"/>
  <c r="F17" i="6" s="1"/>
  <c r="D18" i="6"/>
  <c r="F18" i="6" s="1"/>
  <c r="D19" i="6"/>
  <c r="F19" i="6" s="1"/>
  <c r="D20" i="6"/>
  <c r="F20" i="6" s="1"/>
  <c r="D21" i="6"/>
  <c r="F21" i="6" s="1"/>
  <c r="D22" i="6"/>
  <c r="F22" i="6" s="1"/>
  <c r="D23" i="6"/>
  <c r="F23" i="6" s="1"/>
  <c r="D24" i="6"/>
  <c r="F24" i="6" s="1"/>
  <c r="D25" i="6"/>
  <c r="F25" i="6" s="1"/>
  <c r="D26" i="6"/>
  <c r="F26" i="6" s="1"/>
  <c r="D27" i="6"/>
  <c r="F27" i="6" s="1"/>
  <c r="D28" i="6"/>
  <c r="F28" i="6" s="1"/>
  <c r="D29" i="6"/>
  <c r="F29" i="6" s="1"/>
  <c r="D30" i="6"/>
  <c r="F30" i="6" s="1"/>
  <c r="D31" i="6"/>
  <c r="F31" i="6" s="1"/>
  <c r="D32" i="6"/>
  <c r="F32" i="6" s="1"/>
  <c r="D33" i="6"/>
  <c r="F33" i="6" s="1"/>
  <c r="D34" i="6"/>
  <c r="F34" i="6" s="1"/>
  <c r="D35" i="6"/>
  <c r="F35" i="6" s="1"/>
  <c r="D36" i="6"/>
  <c r="F36" i="6" s="1"/>
  <c r="D37" i="6"/>
  <c r="F37" i="6" s="1"/>
  <c r="D38" i="6"/>
  <c r="F38" i="6" s="1"/>
  <c r="D39" i="6"/>
  <c r="F39" i="6" s="1"/>
  <c r="D40" i="6"/>
  <c r="F40" i="6" s="1"/>
  <c r="D41" i="6"/>
  <c r="F41" i="6" s="1"/>
  <c r="D42" i="6"/>
  <c r="F42" i="6" s="1"/>
  <c r="D43" i="6"/>
  <c r="F43" i="6" s="1"/>
  <c r="D44" i="6"/>
  <c r="F44" i="6" s="1"/>
  <c r="D45" i="6"/>
  <c r="F45" i="6" s="1"/>
  <c r="D46" i="6"/>
  <c r="F46" i="6" s="1"/>
  <c r="D47" i="6"/>
  <c r="F47" i="6" s="1"/>
  <c r="D48" i="6"/>
  <c r="F48" i="6" s="1"/>
  <c r="D49" i="6"/>
  <c r="F49" i="6" s="1"/>
  <c r="D50" i="6"/>
  <c r="F50" i="6" s="1"/>
  <c r="D3" i="5"/>
  <c r="F3" i="5" s="1"/>
  <c r="D4" i="5"/>
  <c r="F4" i="5" s="1"/>
  <c r="D5" i="5"/>
  <c r="F5" i="5" s="1"/>
  <c r="D6" i="5"/>
  <c r="F6" i="5" s="1"/>
  <c r="M46" i="7" s="1"/>
  <c r="D7" i="5"/>
  <c r="F7" i="5" s="1"/>
  <c r="D8" i="5"/>
  <c r="F8" i="5" s="1"/>
  <c r="D9" i="5"/>
  <c r="F9" i="5" s="1"/>
  <c r="D10" i="5"/>
  <c r="F10" i="5" s="1"/>
  <c r="W51" i="7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F29" i="5" s="1"/>
  <c r="D30" i="5"/>
  <c r="F30" i="5" s="1"/>
  <c r="D31" i="5"/>
  <c r="F31" i="5" s="1"/>
  <c r="D32" i="5"/>
  <c r="F32" i="5" s="1"/>
  <c r="D33" i="5"/>
  <c r="F33" i="5" s="1"/>
  <c r="D34" i="5"/>
  <c r="F34" i="5" s="1"/>
  <c r="D35" i="5"/>
  <c r="F35" i="5" s="1"/>
  <c r="D36" i="5"/>
  <c r="F36" i="5" s="1"/>
  <c r="D37" i="5"/>
  <c r="F37" i="5" s="1"/>
  <c r="D38" i="5"/>
  <c r="F38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3" i="4"/>
  <c r="F3" i="4" s="1"/>
  <c r="D4" i="4"/>
  <c r="F4" i="4" s="1"/>
  <c r="AE31" i="7" s="1"/>
  <c r="D5" i="4"/>
  <c r="F5" i="4" s="1"/>
  <c r="D6" i="4"/>
  <c r="F6" i="4" s="1"/>
  <c r="D7" i="4"/>
  <c r="F7" i="4" s="1"/>
  <c r="D8" i="4"/>
  <c r="M30" i="7" s="1"/>
  <c r="D9" i="4"/>
  <c r="F9" i="4" s="1"/>
  <c r="D10" i="4"/>
  <c r="F10" i="4" s="1"/>
  <c r="D11" i="4"/>
  <c r="F11" i="4" s="1"/>
  <c r="D12" i="4"/>
  <c r="F12" i="4" s="1"/>
  <c r="D13" i="4"/>
  <c r="F13" i="4" s="1"/>
  <c r="D14" i="4"/>
  <c r="F14" i="4" s="1"/>
  <c r="D15" i="4"/>
  <c r="F15" i="4" s="1"/>
  <c r="D16" i="4"/>
  <c r="F16" i="4" s="1"/>
  <c r="D17" i="4"/>
  <c r="F17" i="4" s="1"/>
  <c r="D18" i="4"/>
  <c r="F18" i="4" s="1"/>
  <c r="D19" i="4"/>
  <c r="F19" i="4" s="1"/>
  <c r="D20" i="4"/>
  <c r="F20" i="4" s="1"/>
  <c r="D21" i="4"/>
  <c r="F21" i="4" s="1"/>
  <c r="D22" i="4"/>
  <c r="F22" i="4" s="1"/>
  <c r="D23" i="4"/>
  <c r="F23" i="4" s="1"/>
  <c r="D24" i="4"/>
  <c r="F24" i="4" s="1"/>
  <c r="D25" i="4"/>
  <c r="F25" i="4" s="1"/>
  <c r="D26" i="4"/>
  <c r="F26" i="4" s="1"/>
  <c r="D27" i="4"/>
  <c r="F27" i="4" s="1"/>
  <c r="D28" i="4"/>
  <c r="F28" i="4" s="1"/>
  <c r="D29" i="4"/>
  <c r="F29" i="4" s="1"/>
  <c r="D30" i="4"/>
  <c r="F30" i="4" s="1"/>
  <c r="D31" i="4"/>
  <c r="F31" i="4" s="1"/>
  <c r="D32" i="4"/>
  <c r="F32" i="4" s="1"/>
  <c r="D33" i="4"/>
  <c r="F33" i="4" s="1"/>
  <c r="D34" i="4"/>
  <c r="F34" i="4" s="1"/>
  <c r="D35" i="4"/>
  <c r="F35" i="4" s="1"/>
  <c r="D36" i="4"/>
  <c r="F36" i="4" s="1"/>
  <c r="D37" i="4"/>
  <c r="F37" i="4" s="1"/>
  <c r="D38" i="4"/>
  <c r="F38" i="4" s="1"/>
  <c r="D39" i="4"/>
  <c r="F39" i="4" s="1"/>
  <c r="D40" i="4"/>
  <c r="F40" i="4" s="1"/>
  <c r="D41" i="4"/>
  <c r="F41" i="4" s="1"/>
  <c r="D42" i="4"/>
  <c r="F42" i="4" s="1"/>
  <c r="D43" i="4"/>
  <c r="F43" i="4" s="1"/>
  <c r="D44" i="4"/>
  <c r="F44" i="4" s="1"/>
  <c r="D45" i="4"/>
  <c r="F45" i="4" s="1"/>
  <c r="D46" i="4"/>
  <c r="F46" i="4" s="1"/>
  <c r="D47" i="4"/>
  <c r="F47" i="4" s="1"/>
  <c r="D48" i="4"/>
  <c r="F48" i="4" s="1"/>
  <c r="D49" i="4"/>
  <c r="F49" i="4" s="1"/>
  <c r="D50" i="4"/>
  <c r="F50" i="4" s="1"/>
  <c r="F3" i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T5" i="7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AC82" i="7"/>
  <c r="AC81" i="7"/>
  <c r="AC80" i="7"/>
  <c r="AC79" i="7"/>
  <c r="AC78" i="7"/>
  <c r="AC77" i="7"/>
  <c r="AC76" i="7"/>
  <c r="AC75" i="7"/>
  <c r="AC74" i="7"/>
  <c r="AC73" i="7"/>
  <c r="AC72" i="7"/>
  <c r="AC71" i="7"/>
  <c r="AC70" i="7"/>
  <c r="AC69" i="7"/>
  <c r="AC68" i="7"/>
  <c r="AC67" i="7"/>
  <c r="AC66" i="7"/>
  <c r="AC65" i="7"/>
  <c r="AC64" i="7"/>
  <c r="AC63" i="7"/>
  <c r="AC62" i="7"/>
  <c r="AC61" i="7"/>
  <c r="AC60" i="7"/>
  <c r="AC59" i="7"/>
  <c r="AB82" i="7"/>
  <c r="AB81" i="7"/>
  <c r="AB80" i="7"/>
  <c r="AB79" i="7"/>
  <c r="AB78" i="7"/>
  <c r="AB77" i="7"/>
  <c r="AB76" i="7"/>
  <c r="AB75" i="7"/>
  <c r="AB74" i="7"/>
  <c r="AB73" i="7"/>
  <c r="AB72" i="7"/>
  <c r="AB71" i="7"/>
  <c r="AB70" i="7"/>
  <c r="AB69" i="7"/>
  <c r="AB68" i="7"/>
  <c r="AB67" i="7"/>
  <c r="AB66" i="7"/>
  <c r="AB65" i="7"/>
  <c r="AB64" i="7"/>
  <c r="AB63" i="7"/>
  <c r="AB62" i="7"/>
  <c r="AB61" i="7"/>
  <c r="AB59" i="7"/>
  <c r="AB60" i="7"/>
  <c r="AA82" i="7"/>
  <c r="AA81" i="7"/>
  <c r="AA80" i="7"/>
  <c r="AA79" i="7"/>
  <c r="AA78" i="7"/>
  <c r="AA77" i="7"/>
  <c r="AA76" i="7"/>
  <c r="AA75" i="7"/>
  <c r="AA74" i="7"/>
  <c r="AA73" i="7"/>
  <c r="AA72" i="7"/>
  <c r="AA71" i="7"/>
  <c r="AA70" i="7"/>
  <c r="AA69" i="7"/>
  <c r="AA68" i="7"/>
  <c r="AA67" i="7"/>
  <c r="AA66" i="7"/>
  <c r="AA65" i="7"/>
  <c r="AA64" i="7"/>
  <c r="AA63" i="7"/>
  <c r="AA62" i="7"/>
  <c r="AA61" i="7"/>
  <c r="AA60" i="7"/>
  <c r="AA59" i="7"/>
  <c r="Z82" i="7"/>
  <c r="Z81" i="7"/>
  <c r="Z80" i="7"/>
  <c r="Z79" i="7"/>
  <c r="Z78" i="7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V82" i="7"/>
  <c r="V81" i="7"/>
  <c r="V80" i="7"/>
  <c r="V79" i="7"/>
  <c r="V78" i="7"/>
  <c r="V77" i="7"/>
  <c r="V76" i="7"/>
  <c r="V75" i="7"/>
  <c r="V74" i="7"/>
  <c r="V73" i="7"/>
  <c r="V72" i="7"/>
  <c r="V71" i="7"/>
  <c r="V70" i="7"/>
  <c r="V69" i="7"/>
  <c r="V68" i="7"/>
  <c r="V67" i="7"/>
  <c r="V66" i="7"/>
  <c r="V65" i="7"/>
  <c r="V64" i="7"/>
  <c r="V63" i="7"/>
  <c r="V62" i="7"/>
  <c r="V61" i="7"/>
  <c r="V60" i="7"/>
  <c r="V59" i="7"/>
  <c r="U82" i="7"/>
  <c r="U81" i="7"/>
  <c r="U80" i="7"/>
  <c r="U79" i="7"/>
  <c r="U78" i="7"/>
  <c r="U77" i="7"/>
  <c r="U76" i="7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AC45" i="7"/>
  <c r="AC46" i="7"/>
  <c r="AC47" i="7"/>
  <c r="AC48" i="7"/>
  <c r="AC49" i="7"/>
  <c r="AC50" i="7"/>
  <c r="AC51" i="7"/>
  <c r="AC52" i="7"/>
  <c r="AB52" i="7"/>
  <c r="AB51" i="7"/>
  <c r="AB50" i="7"/>
  <c r="AB49" i="7"/>
  <c r="AB48" i="7"/>
  <c r="AB47" i="7"/>
  <c r="AB46" i="7"/>
  <c r="AB45" i="7"/>
  <c r="AA45" i="7"/>
  <c r="AA46" i="7"/>
  <c r="AA47" i="7"/>
  <c r="AA48" i="7"/>
  <c r="AA49" i="7"/>
  <c r="AA50" i="7"/>
  <c r="AA51" i="7"/>
  <c r="AA52" i="7"/>
  <c r="Z52" i="7"/>
  <c r="Z51" i="7"/>
  <c r="Z50" i="7"/>
  <c r="Z49" i="7"/>
  <c r="Z48" i="7"/>
  <c r="Z47" i="7"/>
  <c r="Z46" i="7"/>
  <c r="Z45" i="7"/>
  <c r="Y45" i="7"/>
  <c r="Y46" i="7"/>
  <c r="Y47" i="7"/>
  <c r="Y48" i="7"/>
  <c r="Y49" i="7"/>
  <c r="Y50" i="7"/>
  <c r="Y52" i="7"/>
  <c r="X52" i="7"/>
  <c r="X50" i="7"/>
  <c r="X49" i="7"/>
  <c r="X48" i="7"/>
  <c r="X47" i="7"/>
  <c r="X46" i="7"/>
  <c r="X45" i="7"/>
  <c r="W45" i="7"/>
  <c r="W46" i="7"/>
  <c r="W47" i="7"/>
  <c r="W48" i="7"/>
  <c r="W49" i="7"/>
  <c r="W50" i="7"/>
  <c r="W52" i="7"/>
  <c r="V52" i="7"/>
  <c r="V51" i="7"/>
  <c r="V50" i="7"/>
  <c r="V49" i="7"/>
  <c r="V48" i="7"/>
  <c r="V47" i="7"/>
  <c r="V46" i="7"/>
  <c r="V45" i="7"/>
  <c r="U45" i="7"/>
  <c r="U46" i="7"/>
  <c r="U47" i="7"/>
  <c r="U48" i="7"/>
  <c r="U49" i="7"/>
  <c r="U50" i="7"/>
  <c r="U52" i="7"/>
  <c r="T52" i="7"/>
  <c r="T50" i="7"/>
  <c r="T49" i="7"/>
  <c r="T48" i="7"/>
  <c r="T47" i="7"/>
  <c r="T46" i="7"/>
  <c r="T45" i="7"/>
  <c r="S45" i="7"/>
  <c r="S46" i="7"/>
  <c r="S47" i="7"/>
  <c r="S48" i="7"/>
  <c r="S49" i="7"/>
  <c r="S50" i="7"/>
  <c r="S52" i="7"/>
  <c r="R52" i="7"/>
  <c r="R51" i="7"/>
  <c r="R50" i="7"/>
  <c r="R49" i="7"/>
  <c r="R48" i="7"/>
  <c r="R47" i="7"/>
  <c r="R46" i="7"/>
  <c r="R45" i="7"/>
  <c r="Q52" i="7"/>
  <c r="Q51" i="7"/>
  <c r="Q50" i="7"/>
  <c r="Q49" i="7"/>
  <c r="Q48" i="7"/>
  <c r="Q47" i="7"/>
  <c r="Q46" i="7"/>
  <c r="Q45" i="7"/>
  <c r="P45" i="7"/>
  <c r="P46" i="7"/>
  <c r="P47" i="7"/>
  <c r="P48" i="7"/>
  <c r="P49" i="7"/>
  <c r="P50" i="7"/>
  <c r="P51" i="7"/>
  <c r="P52" i="7"/>
  <c r="O52" i="7"/>
  <c r="O51" i="7"/>
  <c r="O50" i="7"/>
  <c r="O49" i="7"/>
  <c r="O48" i="7"/>
  <c r="O47" i="7"/>
  <c r="O46" i="7"/>
  <c r="O45" i="7"/>
  <c r="N52" i="7"/>
  <c r="N51" i="7"/>
  <c r="N50" i="7"/>
  <c r="N49" i="7"/>
  <c r="N48" i="7"/>
  <c r="N47" i="7"/>
  <c r="N46" i="7"/>
  <c r="N45" i="7"/>
  <c r="AC27" i="7"/>
  <c r="AC28" i="7"/>
  <c r="AC29" i="7"/>
  <c r="AC30" i="7"/>
  <c r="AC31" i="7"/>
  <c r="AC32" i="7"/>
  <c r="AC34" i="7"/>
  <c r="AC35" i="7"/>
  <c r="AC36" i="7"/>
  <c r="AC37" i="7"/>
  <c r="AC38" i="7"/>
  <c r="AB38" i="7"/>
  <c r="AB37" i="7"/>
  <c r="AB36" i="7"/>
  <c r="AB35" i="7"/>
  <c r="AB34" i="7"/>
  <c r="AB32" i="7"/>
  <c r="AB31" i="7"/>
  <c r="AB30" i="7"/>
  <c r="AB29" i="7"/>
  <c r="AB28" i="7"/>
  <c r="AB27" i="7"/>
  <c r="AA27" i="7"/>
  <c r="AA28" i="7"/>
  <c r="AA29" i="7"/>
  <c r="AA30" i="7"/>
  <c r="AA31" i="7"/>
  <c r="AA32" i="7"/>
  <c r="AA34" i="7"/>
  <c r="AA35" i="7"/>
  <c r="AA36" i="7"/>
  <c r="AA37" i="7"/>
  <c r="AA38" i="7"/>
  <c r="Z38" i="7"/>
  <c r="Z37" i="7"/>
  <c r="Z36" i="7"/>
  <c r="Z35" i="7"/>
  <c r="Z34" i="7"/>
  <c r="Z33" i="7"/>
  <c r="Z30" i="7"/>
  <c r="Z29" i="7"/>
  <c r="Z28" i="7"/>
  <c r="Z27" i="7"/>
  <c r="Y31" i="7"/>
  <c r="Y32" i="7"/>
  <c r="Y33" i="7"/>
  <c r="Y34" i="7"/>
  <c r="Y35" i="7"/>
  <c r="Y36" i="7"/>
  <c r="Y37" i="7"/>
  <c r="Y38" i="7"/>
  <c r="X38" i="7"/>
  <c r="X37" i="7"/>
  <c r="X36" i="7"/>
  <c r="X35" i="7"/>
  <c r="X34" i="7"/>
  <c r="X33" i="7"/>
  <c r="X32" i="7"/>
  <c r="X31" i="7"/>
  <c r="Y30" i="7"/>
  <c r="X30" i="7"/>
  <c r="X28" i="7"/>
  <c r="X27" i="7"/>
  <c r="X29" i="7"/>
  <c r="Y29" i="7"/>
  <c r="Y28" i="7"/>
  <c r="Y27" i="7"/>
  <c r="W38" i="7"/>
  <c r="W37" i="7"/>
  <c r="W36" i="7"/>
  <c r="W35" i="7"/>
  <c r="W34" i="7"/>
  <c r="W33" i="7"/>
  <c r="W32" i="7"/>
  <c r="W31" i="7"/>
  <c r="W30" i="7"/>
  <c r="W29" i="7"/>
  <c r="W28" i="7"/>
  <c r="W27" i="7"/>
  <c r="V38" i="7"/>
  <c r="V37" i="7"/>
  <c r="V36" i="7"/>
  <c r="V35" i="7"/>
  <c r="V34" i="7"/>
  <c r="V33" i="7"/>
  <c r="V30" i="7"/>
  <c r="V29" i="7"/>
  <c r="V28" i="7"/>
  <c r="V27" i="7"/>
  <c r="U38" i="7"/>
  <c r="U37" i="7"/>
  <c r="U35" i="7"/>
  <c r="U34" i="7"/>
  <c r="U33" i="7"/>
  <c r="U32" i="7"/>
  <c r="U31" i="7"/>
  <c r="U30" i="7"/>
  <c r="U29" i="7"/>
  <c r="U28" i="7"/>
  <c r="U27" i="7"/>
  <c r="T38" i="7"/>
  <c r="T37" i="7"/>
  <c r="T35" i="7"/>
  <c r="T34" i="7"/>
  <c r="T33" i="7"/>
  <c r="T32" i="7"/>
  <c r="T31" i="7"/>
  <c r="T30" i="7"/>
  <c r="T29" i="7"/>
  <c r="T28" i="7"/>
  <c r="T27" i="7"/>
  <c r="S38" i="7"/>
  <c r="S37" i="7"/>
  <c r="S35" i="7"/>
  <c r="S34" i="7"/>
  <c r="S33" i="7"/>
  <c r="S32" i="7"/>
  <c r="S31" i="7"/>
  <c r="S30" i="7"/>
  <c r="S29" i="7"/>
  <c r="S28" i="7"/>
  <c r="S27" i="7"/>
  <c r="R38" i="7"/>
  <c r="R37" i="7"/>
  <c r="R36" i="7"/>
  <c r="R35" i="7"/>
  <c r="R34" i="7"/>
  <c r="R33" i="7"/>
  <c r="R30" i="7"/>
  <c r="R29" i="7"/>
  <c r="R28" i="7"/>
  <c r="R27" i="7"/>
  <c r="Q38" i="7"/>
  <c r="Q37" i="7"/>
  <c r="Q36" i="7"/>
  <c r="Q35" i="7"/>
  <c r="Q34" i="7"/>
  <c r="Q33" i="7"/>
  <c r="Q32" i="7"/>
  <c r="Q31" i="7"/>
  <c r="Q30" i="7"/>
  <c r="Q28" i="7"/>
  <c r="Q27" i="7"/>
  <c r="P38" i="7"/>
  <c r="P37" i="7"/>
  <c r="P36" i="7"/>
  <c r="P35" i="7"/>
  <c r="P34" i="7"/>
  <c r="P33" i="7"/>
  <c r="P32" i="7"/>
  <c r="P31" i="7"/>
  <c r="P30" i="7"/>
  <c r="P28" i="7"/>
  <c r="P27" i="7"/>
  <c r="O38" i="7"/>
  <c r="O37" i="7"/>
  <c r="O36" i="7"/>
  <c r="O35" i="7"/>
  <c r="O34" i="7"/>
  <c r="O33" i="7"/>
  <c r="O32" i="7"/>
  <c r="O31" i="7"/>
  <c r="O30" i="7"/>
  <c r="O28" i="7"/>
  <c r="O27" i="7"/>
  <c r="N38" i="7"/>
  <c r="N37" i="7"/>
  <c r="N36" i="7"/>
  <c r="N35" i="7"/>
  <c r="N34" i="7"/>
  <c r="N33" i="7"/>
  <c r="N30" i="7"/>
  <c r="N29" i="7"/>
  <c r="N28" i="7"/>
  <c r="N27" i="7"/>
  <c r="H21" i="7"/>
  <c r="K21" i="7"/>
  <c r="AC21" i="7"/>
  <c r="AC19" i="7"/>
  <c r="AC18" i="7"/>
  <c r="AC17" i="7"/>
  <c r="AC16" i="7"/>
  <c r="AC15" i="7"/>
  <c r="AC14" i="7"/>
  <c r="AC13" i="7"/>
  <c r="AC12" i="7"/>
  <c r="AC11" i="7"/>
  <c r="AC10" i="7"/>
  <c r="AC9" i="7"/>
  <c r="AC8" i="7"/>
  <c r="AC7" i="7"/>
  <c r="AC6" i="7"/>
  <c r="AC5" i="7"/>
  <c r="AC4" i="7"/>
  <c r="AB21" i="7"/>
  <c r="AB19" i="7"/>
  <c r="AB18" i="7"/>
  <c r="AB17" i="7"/>
  <c r="AB16" i="7"/>
  <c r="AB15" i="7"/>
  <c r="AB14" i="7"/>
  <c r="AB13" i="7"/>
  <c r="AB12" i="7"/>
  <c r="AB11" i="7"/>
  <c r="AB10" i="7"/>
  <c r="AB9" i="7"/>
  <c r="AB8" i="7"/>
  <c r="AB7" i="7"/>
  <c r="AB6" i="7"/>
  <c r="AB5" i="7"/>
  <c r="AB4" i="7"/>
  <c r="AA21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4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Z5" i="7"/>
  <c r="Z4" i="7"/>
  <c r="Y21" i="7"/>
  <c r="Y20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X21" i="7"/>
  <c r="X20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W21" i="7"/>
  <c r="W20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U21" i="7"/>
  <c r="U20" i="7"/>
  <c r="U19" i="7"/>
  <c r="U17" i="7"/>
  <c r="U16" i="7"/>
  <c r="U15" i="7"/>
  <c r="U14" i="7"/>
  <c r="U13" i="7"/>
  <c r="U11" i="7"/>
  <c r="U10" i="7"/>
  <c r="U9" i="7"/>
  <c r="U8" i="7"/>
  <c r="U7" i="7"/>
  <c r="U6" i="7"/>
  <c r="U4" i="7"/>
  <c r="T21" i="7"/>
  <c r="T20" i="7"/>
  <c r="T19" i="7"/>
  <c r="T17" i="7"/>
  <c r="T16" i="7"/>
  <c r="T15" i="7"/>
  <c r="T14" i="7"/>
  <c r="T13" i="7"/>
  <c r="T11" i="7"/>
  <c r="T10" i="7"/>
  <c r="T9" i="7"/>
  <c r="T8" i="7"/>
  <c r="T7" i="7"/>
  <c r="T6" i="7"/>
  <c r="T4" i="7"/>
  <c r="S21" i="7"/>
  <c r="S20" i="7"/>
  <c r="S19" i="7"/>
  <c r="S17" i="7"/>
  <c r="S16" i="7"/>
  <c r="S15" i="7"/>
  <c r="S14" i="7"/>
  <c r="S13" i="7"/>
  <c r="S11" i="7"/>
  <c r="S10" i="7"/>
  <c r="S9" i="7"/>
  <c r="S8" i="7"/>
  <c r="S7" i="7"/>
  <c r="S6" i="7"/>
  <c r="S4" i="7"/>
  <c r="R21" i="7"/>
  <c r="R20" i="7"/>
  <c r="R19" i="7"/>
  <c r="R18" i="7"/>
  <c r="R17" i="7"/>
  <c r="R16" i="7"/>
  <c r="R15" i="7"/>
  <c r="R13" i="7"/>
  <c r="R12" i="7"/>
  <c r="R11" i="7"/>
  <c r="R10" i="7"/>
  <c r="R9" i="7"/>
  <c r="R8" i="7"/>
  <c r="R7" i="7"/>
  <c r="R6" i="7"/>
  <c r="R5" i="7"/>
  <c r="R4" i="7"/>
  <c r="R14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7" i="7"/>
  <c r="Q6" i="7"/>
  <c r="Q4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7" i="7"/>
  <c r="P6" i="7"/>
  <c r="P4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7" i="7"/>
  <c r="O6" i="7"/>
  <c r="O4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2" i="7"/>
  <c r="M61" i="7"/>
  <c r="M59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2" i="7"/>
  <c r="L61" i="7"/>
  <c r="L59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2" i="7"/>
  <c r="K61" i="7"/>
  <c r="K59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M52" i="7"/>
  <c r="M51" i="7"/>
  <c r="M49" i="7"/>
  <c r="M48" i="7"/>
  <c r="M47" i="7"/>
  <c r="M45" i="7"/>
  <c r="L52" i="7"/>
  <c r="L51" i="7"/>
  <c r="L49" i="7"/>
  <c r="L48" i="7"/>
  <c r="L47" i="7"/>
  <c r="L45" i="7"/>
  <c r="K52" i="7"/>
  <c r="K51" i="7"/>
  <c r="K49" i="7"/>
  <c r="K48" i="7"/>
  <c r="K47" i="7"/>
  <c r="K45" i="7"/>
  <c r="J52" i="7"/>
  <c r="J51" i="7"/>
  <c r="J50" i="7"/>
  <c r="J49" i="7"/>
  <c r="J48" i="7"/>
  <c r="J47" i="7"/>
  <c r="J46" i="7"/>
  <c r="J45" i="7"/>
  <c r="B59" i="7"/>
  <c r="F59" i="7"/>
  <c r="G59" i="7"/>
  <c r="H59" i="7"/>
  <c r="I59" i="7"/>
  <c r="M38" i="7"/>
  <c r="M37" i="7"/>
  <c r="M36" i="7"/>
  <c r="M35" i="7"/>
  <c r="M34" i="7"/>
  <c r="M33" i="7"/>
  <c r="M32" i="7"/>
  <c r="M31" i="7"/>
  <c r="M29" i="7"/>
  <c r="M28" i="7"/>
  <c r="M27" i="7"/>
  <c r="L38" i="7"/>
  <c r="L37" i="7"/>
  <c r="L36" i="7"/>
  <c r="L35" i="7"/>
  <c r="L34" i="7"/>
  <c r="L33" i="7"/>
  <c r="L32" i="7"/>
  <c r="L31" i="7"/>
  <c r="L29" i="7"/>
  <c r="L28" i="7"/>
  <c r="L27" i="7"/>
  <c r="K38" i="7"/>
  <c r="K37" i="7"/>
  <c r="K36" i="7"/>
  <c r="K35" i="7"/>
  <c r="K34" i="7"/>
  <c r="K33" i="7"/>
  <c r="K32" i="7"/>
  <c r="K31" i="7"/>
  <c r="K29" i="7"/>
  <c r="K28" i="7"/>
  <c r="K27" i="7"/>
  <c r="J38" i="7"/>
  <c r="J37" i="7"/>
  <c r="J36" i="7"/>
  <c r="J35" i="7"/>
  <c r="J34" i="7"/>
  <c r="J33" i="7"/>
  <c r="J30" i="7"/>
  <c r="J29" i="7"/>
  <c r="J28" i="7"/>
  <c r="J27" i="7"/>
  <c r="M21" i="7"/>
  <c r="M19" i="7"/>
  <c r="M17" i="7"/>
  <c r="M16" i="7"/>
  <c r="M15" i="7"/>
  <c r="M11" i="7"/>
  <c r="M10" i="7"/>
  <c r="M8" i="7"/>
  <c r="M7" i="7"/>
  <c r="M6" i="7"/>
  <c r="M5" i="7"/>
  <c r="L21" i="7"/>
  <c r="L19" i="7"/>
  <c r="L17" i="7"/>
  <c r="L16" i="7"/>
  <c r="L15" i="7"/>
  <c r="L11" i="7"/>
  <c r="L10" i="7"/>
  <c r="L8" i="7"/>
  <c r="L7" i="7"/>
  <c r="L6" i="7"/>
  <c r="L5" i="7"/>
  <c r="K19" i="7"/>
  <c r="K17" i="7"/>
  <c r="K16" i="7"/>
  <c r="K15" i="7"/>
  <c r="K11" i="7"/>
  <c r="K10" i="7"/>
  <c r="K8" i="7"/>
  <c r="K7" i="7"/>
  <c r="K6" i="7"/>
  <c r="K5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I82" i="7"/>
  <c r="I81" i="7"/>
  <c r="I79" i="7"/>
  <c r="I78" i="7"/>
  <c r="I77" i="7"/>
  <c r="I76" i="7"/>
  <c r="I74" i="7"/>
  <c r="I73" i="7"/>
  <c r="I72" i="7"/>
  <c r="I71" i="7"/>
  <c r="I70" i="7"/>
  <c r="I69" i="7"/>
  <c r="I68" i="7"/>
  <c r="I67" i="7"/>
  <c r="I66" i="7"/>
  <c r="I65" i="7"/>
  <c r="I64" i="7"/>
  <c r="I61" i="7"/>
  <c r="I60" i="7"/>
  <c r="H82" i="7"/>
  <c r="H81" i="7"/>
  <c r="H79" i="7"/>
  <c r="H78" i="7"/>
  <c r="H77" i="7"/>
  <c r="H76" i="7"/>
  <c r="H74" i="7"/>
  <c r="H73" i="7"/>
  <c r="H72" i="7"/>
  <c r="H71" i="7"/>
  <c r="H70" i="7"/>
  <c r="H69" i="7"/>
  <c r="H68" i="7"/>
  <c r="H67" i="7"/>
  <c r="H66" i="7"/>
  <c r="H65" i="7"/>
  <c r="H64" i="7"/>
  <c r="H61" i="7"/>
  <c r="H60" i="7"/>
  <c r="G82" i="7"/>
  <c r="G81" i="7"/>
  <c r="G79" i="7"/>
  <c r="G78" i="7"/>
  <c r="G77" i="7"/>
  <c r="G76" i="7"/>
  <c r="G74" i="7"/>
  <c r="G73" i="7"/>
  <c r="G72" i="7"/>
  <c r="G71" i="7"/>
  <c r="G70" i="7"/>
  <c r="G69" i="7"/>
  <c r="G68" i="7"/>
  <c r="G67" i="7"/>
  <c r="G66" i="7"/>
  <c r="G65" i="7"/>
  <c r="G64" i="7"/>
  <c r="G61" i="7"/>
  <c r="G60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I52" i="7"/>
  <c r="I51" i="7"/>
  <c r="I50" i="7"/>
  <c r="I49" i="7"/>
  <c r="I48" i="7"/>
  <c r="I47" i="7"/>
  <c r="I46" i="7"/>
  <c r="I45" i="7"/>
  <c r="H52" i="7"/>
  <c r="H51" i="7"/>
  <c r="H50" i="7"/>
  <c r="H49" i="7"/>
  <c r="H48" i="7"/>
  <c r="H47" i="7"/>
  <c r="H46" i="7"/>
  <c r="H45" i="7"/>
  <c r="G52" i="7"/>
  <c r="G51" i="7"/>
  <c r="G50" i="7"/>
  <c r="G49" i="7"/>
  <c r="G48" i="7"/>
  <c r="G47" i="7"/>
  <c r="G46" i="7"/>
  <c r="G45" i="7"/>
  <c r="F52" i="7"/>
  <c r="F51" i="7"/>
  <c r="F50" i="7"/>
  <c r="F49" i="7"/>
  <c r="F48" i="7"/>
  <c r="F47" i="7"/>
  <c r="F46" i="7"/>
  <c r="F45" i="7"/>
  <c r="I38" i="7"/>
  <c r="I37" i="7"/>
  <c r="I36" i="7"/>
  <c r="I35" i="7"/>
  <c r="I34" i="7"/>
  <c r="I33" i="7"/>
  <c r="I31" i="7"/>
  <c r="I30" i="7"/>
  <c r="I28" i="7"/>
  <c r="H38" i="7"/>
  <c r="H37" i="7"/>
  <c r="H36" i="7"/>
  <c r="H35" i="7"/>
  <c r="H34" i="7"/>
  <c r="H33" i="7"/>
  <c r="H31" i="7"/>
  <c r="H30" i="7"/>
  <c r="H28" i="7"/>
  <c r="G38" i="7"/>
  <c r="G37" i="7"/>
  <c r="G36" i="7"/>
  <c r="G35" i="7"/>
  <c r="G34" i="7"/>
  <c r="G33" i="7"/>
  <c r="G31" i="7"/>
  <c r="G30" i="7"/>
  <c r="G28" i="7"/>
  <c r="F38" i="7"/>
  <c r="F37" i="7"/>
  <c r="F36" i="7"/>
  <c r="F35" i="7"/>
  <c r="F34" i="7"/>
  <c r="F33" i="7"/>
  <c r="F30" i="7"/>
  <c r="F29" i="7"/>
  <c r="F28" i="7"/>
  <c r="I27" i="7"/>
  <c r="H27" i="7"/>
  <c r="G27" i="7"/>
  <c r="F27" i="7"/>
  <c r="G20" i="7"/>
  <c r="B38" i="7"/>
  <c r="B37" i="7"/>
  <c r="B36" i="7"/>
  <c r="B35" i="7"/>
  <c r="B34" i="7"/>
  <c r="B33" i="7"/>
  <c r="B30" i="7"/>
  <c r="B29" i="7"/>
  <c r="B28" i="7"/>
  <c r="B27" i="7"/>
  <c r="I21" i="7"/>
  <c r="I20" i="7"/>
  <c r="I19" i="7"/>
  <c r="I18" i="7"/>
  <c r="I17" i="7"/>
  <c r="I16" i="7"/>
  <c r="I15" i="7"/>
  <c r="I13" i="7"/>
  <c r="I11" i="7"/>
  <c r="I9" i="7"/>
  <c r="I8" i="7"/>
  <c r="I7" i="7"/>
  <c r="I4" i="7"/>
  <c r="H20" i="7"/>
  <c r="H19" i="7"/>
  <c r="H18" i="7"/>
  <c r="H17" i="7"/>
  <c r="H16" i="7"/>
  <c r="H15" i="7"/>
  <c r="H13" i="7"/>
  <c r="H11" i="7"/>
  <c r="H9" i="7"/>
  <c r="H8" i="7"/>
  <c r="H7" i="7"/>
  <c r="H4" i="7"/>
  <c r="G21" i="7"/>
  <c r="G19" i="7"/>
  <c r="G18" i="7"/>
  <c r="G17" i="7"/>
  <c r="G16" i="7"/>
  <c r="G15" i="7"/>
  <c r="G13" i="7"/>
  <c r="G11" i="7"/>
  <c r="G9" i="7"/>
  <c r="G8" i="7"/>
  <c r="G7" i="7"/>
  <c r="G4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B82" i="7"/>
  <c r="C82" i="7"/>
  <c r="D82" i="7"/>
  <c r="E82" i="7"/>
  <c r="B79" i="7"/>
  <c r="B80" i="7"/>
  <c r="C80" i="7"/>
  <c r="D80" i="7"/>
  <c r="E80" i="7"/>
  <c r="B77" i="7"/>
  <c r="B78" i="7"/>
  <c r="E76" i="7"/>
  <c r="D76" i="7"/>
  <c r="C76" i="7"/>
  <c r="B76" i="7"/>
  <c r="E75" i="7"/>
  <c r="D75" i="7"/>
  <c r="C75" i="7"/>
  <c r="B75" i="7"/>
  <c r="E74" i="7"/>
  <c r="D74" i="7"/>
  <c r="C74" i="7"/>
  <c r="B74" i="7"/>
  <c r="E73" i="7"/>
  <c r="D73" i="7"/>
  <c r="C73" i="7"/>
  <c r="B73" i="7"/>
  <c r="E72" i="7"/>
  <c r="D72" i="7"/>
  <c r="C72" i="7"/>
  <c r="B72" i="7"/>
  <c r="E71" i="7"/>
  <c r="D71" i="7"/>
  <c r="C71" i="7"/>
  <c r="B71" i="7"/>
  <c r="E70" i="7"/>
  <c r="D70" i="7"/>
  <c r="C70" i="7"/>
  <c r="B70" i="7"/>
  <c r="E69" i="7"/>
  <c r="D69" i="7"/>
  <c r="C69" i="7"/>
  <c r="B69" i="7"/>
  <c r="B68" i="7"/>
  <c r="E67" i="7"/>
  <c r="D67" i="7"/>
  <c r="C67" i="7"/>
  <c r="B67" i="7"/>
  <c r="E66" i="7"/>
  <c r="D66" i="7"/>
  <c r="C66" i="7"/>
  <c r="B66" i="7"/>
  <c r="E65" i="7"/>
  <c r="D65" i="7"/>
  <c r="C65" i="7"/>
  <c r="B65" i="7"/>
  <c r="E64" i="7"/>
  <c r="D64" i="7"/>
  <c r="C64" i="7"/>
  <c r="B64" i="7"/>
  <c r="B63" i="7"/>
  <c r="B62" i="7"/>
  <c r="E61" i="7"/>
  <c r="D61" i="7"/>
  <c r="C61" i="7"/>
  <c r="B61" i="7"/>
  <c r="E60" i="7"/>
  <c r="D60" i="7"/>
  <c r="C60" i="7"/>
  <c r="B60" i="7"/>
  <c r="E52" i="7"/>
  <c r="D52" i="7"/>
  <c r="C52" i="7"/>
  <c r="B52" i="7"/>
  <c r="B51" i="7"/>
  <c r="E50" i="7"/>
  <c r="D50" i="7"/>
  <c r="C50" i="7"/>
  <c r="B50" i="7"/>
  <c r="E49" i="7"/>
  <c r="D49" i="7"/>
  <c r="C49" i="7"/>
  <c r="B49" i="7"/>
  <c r="E48" i="7"/>
  <c r="D48" i="7"/>
  <c r="C48" i="7"/>
  <c r="B48" i="7"/>
  <c r="E47" i="7"/>
  <c r="D47" i="7"/>
  <c r="C47" i="7"/>
  <c r="B47" i="7"/>
  <c r="B46" i="7"/>
  <c r="E45" i="7"/>
  <c r="D45" i="7"/>
  <c r="C45" i="7"/>
  <c r="B45" i="7"/>
  <c r="E37" i="7"/>
  <c r="D37" i="7"/>
  <c r="C37" i="7"/>
  <c r="C38" i="7"/>
  <c r="D38" i="7"/>
  <c r="E38" i="7"/>
  <c r="E35" i="7"/>
  <c r="D35" i="7"/>
  <c r="C35" i="7"/>
  <c r="C36" i="7"/>
  <c r="D36" i="7"/>
  <c r="E36" i="7"/>
  <c r="C34" i="7"/>
  <c r="D34" i="7"/>
  <c r="E34" i="7"/>
  <c r="E31" i="7"/>
  <c r="D31" i="7"/>
  <c r="C31" i="7"/>
  <c r="C32" i="7"/>
  <c r="D32" i="7"/>
  <c r="E32" i="7"/>
  <c r="E29" i="7"/>
  <c r="D29" i="7"/>
  <c r="C29" i="7"/>
  <c r="C30" i="7"/>
  <c r="D30" i="7"/>
  <c r="E30" i="7"/>
  <c r="E28" i="7"/>
  <c r="D28" i="7"/>
  <c r="C28" i="7"/>
  <c r="E27" i="7"/>
  <c r="D27" i="7"/>
  <c r="C27" i="7"/>
  <c r="B20" i="7"/>
  <c r="B21" i="7"/>
  <c r="C21" i="7"/>
  <c r="D21" i="7"/>
  <c r="E21" i="7"/>
  <c r="B18" i="7"/>
  <c r="B19" i="7"/>
  <c r="C19" i="7"/>
  <c r="D19" i="7"/>
  <c r="E19" i="7"/>
  <c r="E16" i="7"/>
  <c r="D16" i="7"/>
  <c r="C16" i="7"/>
  <c r="B16" i="7"/>
  <c r="B17" i="7"/>
  <c r="C17" i="7"/>
  <c r="D17" i="7"/>
  <c r="E17" i="7"/>
  <c r="E14" i="7"/>
  <c r="D14" i="7"/>
  <c r="C14" i="7"/>
  <c r="B14" i="7"/>
  <c r="B15" i="7"/>
  <c r="B12" i="7"/>
  <c r="B13" i="7"/>
  <c r="E10" i="7"/>
  <c r="D10" i="7"/>
  <c r="C10" i="7"/>
  <c r="B10" i="7"/>
  <c r="B11" i="7"/>
  <c r="C11" i="7"/>
  <c r="D11" i="7"/>
  <c r="E11" i="7"/>
  <c r="E8" i="7"/>
  <c r="D8" i="7"/>
  <c r="C8" i="7"/>
  <c r="B8" i="7"/>
  <c r="B9" i="7"/>
  <c r="B7" i="7"/>
  <c r="C7" i="7"/>
  <c r="D7" i="7"/>
  <c r="E7" i="7"/>
  <c r="B5" i="7"/>
  <c r="B4" i="7"/>
  <c r="AE29" i="7" l="1"/>
  <c r="AF29" i="7"/>
  <c r="AG29" i="7"/>
  <c r="AF31" i="7"/>
  <c r="AG31" i="7"/>
  <c r="E89" i="7"/>
  <c r="D89" i="7"/>
  <c r="F8" i="4"/>
  <c r="H89" i="7"/>
  <c r="O89" i="7"/>
  <c r="P89" i="7"/>
  <c r="L89" i="7"/>
  <c r="M89" i="7"/>
  <c r="C89" i="7"/>
  <c r="G89" i="7"/>
  <c r="T51" i="7"/>
  <c r="U51" i="7"/>
  <c r="S51" i="7"/>
  <c r="U36" i="7"/>
  <c r="T36" i="7"/>
  <c r="S36" i="7"/>
  <c r="D59" i="7"/>
  <c r="E59" i="7"/>
  <c r="C59" i="7"/>
  <c r="L60" i="7"/>
  <c r="K60" i="7"/>
  <c r="M60" i="7"/>
  <c r="Y51" i="7"/>
  <c r="X51" i="7"/>
  <c r="H63" i="7"/>
  <c r="G63" i="7"/>
  <c r="M50" i="7"/>
  <c r="L50" i="7"/>
  <c r="K50" i="7"/>
  <c r="K46" i="7"/>
  <c r="L46" i="7"/>
  <c r="U5" i="7"/>
  <c r="S5" i="7"/>
  <c r="Q29" i="7"/>
  <c r="P29" i="7"/>
  <c r="O29" i="7"/>
  <c r="K30" i="7"/>
  <c r="L30" i="7"/>
  <c r="U12" i="7"/>
  <c r="S12" i="7"/>
  <c r="T12" i="7"/>
  <c r="M63" i="7"/>
  <c r="L63" i="7"/>
  <c r="K63" i="7"/>
  <c r="H29" i="7"/>
  <c r="I29" i="7"/>
  <c r="G29" i="7"/>
  <c r="I32" i="7"/>
  <c r="H32" i="7"/>
  <c r="G32" i="7"/>
  <c r="G12" i="7"/>
  <c r="I12" i="7"/>
  <c r="H12" i="7"/>
  <c r="I62" i="7" l="1"/>
  <c r="G62" i="7"/>
  <c r="H62" i="7"/>
  <c r="D77" i="7"/>
  <c r="C77" i="7"/>
  <c r="E77" i="7"/>
  <c r="E63" i="7"/>
  <c r="D63" i="7"/>
  <c r="C63" i="7"/>
  <c r="I75" i="7"/>
  <c r="G75" i="7"/>
  <c r="H75" i="7"/>
  <c r="H80" i="7"/>
  <c r="I80" i="7"/>
  <c r="G80" i="7"/>
  <c r="C51" i="7"/>
  <c r="E51" i="7"/>
  <c r="D51" i="7"/>
  <c r="C46" i="7"/>
  <c r="D46" i="7"/>
  <c r="E46" i="7"/>
  <c r="D33" i="7"/>
  <c r="C33" i="7"/>
  <c r="E33" i="7"/>
  <c r="AA33" i="7"/>
  <c r="AB33" i="7"/>
  <c r="AC33" i="7"/>
  <c r="D68" i="7"/>
  <c r="C68" i="7"/>
  <c r="E68" i="7"/>
  <c r="E81" i="7"/>
  <c r="D81" i="7"/>
  <c r="C81" i="7"/>
  <c r="E78" i="7"/>
  <c r="C78" i="7"/>
  <c r="D78" i="7"/>
  <c r="E79" i="7"/>
  <c r="D79" i="7"/>
  <c r="C79" i="7"/>
  <c r="C62" i="7"/>
  <c r="D62" i="7"/>
  <c r="E62" i="7"/>
  <c r="K4" i="7" l="1"/>
  <c r="M4" i="7"/>
  <c r="L4" i="7"/>
  <c r="P5" i="7"/>
  <c r="Q5" i="7"/>
  <c r="O5" i="7"/>
  <c r="T18" i="7"/>
  <c r="U18" i="7"/>
  <c r="S18" i="7"/>
  <c r="C4" i="7"/>
  <c r="E4" i="7"/>
  <c r="D4" i="7"/>
  <c r="E12" i="7"/>
  <c r="D12" i="7"/>
  <c r="C12" i="7"/>
  <c r="Q8" i="7"/>
  <c r="O8" i="7"/>
  <c r="P8" i="7"/>
  <c r="K12" i="7"/>
  <c r="M12" i="7"/>
  <c r="L12" i="7"/>
  <c r="I10" i="7"/>
  <c r="H10" i="7"/>
  <c r="G10" i="7"/>
  <c r="C15" i="7"/>
  <c r="E15" i="7"/>
  <c r="D15" i="7"/>
  <c r="M13" i="7"/>
  <c r="K13" i="7"/>
  <c r="L13" i="7"/>
  <c r="K20" i="7"/>
  <c r="L20" i="7"/>
  <c r="M20" i="7"/>
  <c r="I5" i="7"/>
  <c r="H5" i="7"/>
  <c r="G5" i="7"/>
  <c r="Y19" i="7"/>
  <c r="W19" i="7"/>
  <c r="X19" i="7"/>
  <c r="M9" i="7"/>
  <c r="K9" i="7"/>
  <c r="L9" i="7"/>
  <c r="M14" i="7"/>
  <c r="L14" i="7"/>
  <c r="K14" i="7"/>
  <c r="L18" i="7"/>
  <c r="K18" i="7"/>
  <c r="M18" i="7"/>
  <c r="I6" i="7"/>
  <c r="H6" i="7"/>
  <c r="G6" i="7"/>
  <c r="C13" i="7"/>
  <c r="D13" i="7"/>
  <c r="E13" i="7"/>
  <c r="X18" i="7"/>
  <c r="Y18" i="7"/>
  <c r="W18" i="7"/>
  <c r="I14" i="7"/>
  <c r="H14" i="7"/>
  <c r="G14" i="7"/>
  <c r="AC20" i="7"/>
  <c r="AA20" i="7"/>
  <c r="AB20" i="7"/>
  <c r="D5" i="7"/>
  <c r="C5" i="7"/>
  <c r="E5" i="7"/>
  <c r="C6" i="7"/>
  <c r="E6" i="7"/>
  <c r="D6" i="7"/>
  <c r="E9" i="7"/>
  <c r="C9" i="7"/>
  <c r="D9" i="7"/>
  <c r="C18" i="7"/>
  <c r="E18" i="7"/>
  <c r="D18" i="7"/>
  <c r="D20" i="7"/>
  <c r="E20" i="7"/>
  <c r="C2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1DE37EE-D887-4D2B-9803-86E5829B3763}" keepAlive="1" name="Query - Data" description="Connection to the 'Data' query in the workbook." type="5" refreshedVersion="0" background="1">
    <dbPr connection="Provider=Microsoft.Mashup.OleDb.1;Data Source=$Workbook$;Location=Data;Extended Properties=&quot;&quot;" command="SELECT * FROM [Data]"/>
  </connection>
  <connection id="2" xr16:uid="{3C3F0585-0949-43A4-A87A-5DF58CF48793}" keepAlive="1" name="Query - Table4" description="Connection to the 'Table4' query in the workbook." type="5" refreshedVersion="6" background="1" saveData="1">
    <dbPr connection="Provider=Microsoft.Mashup.OleDb.1;Data Source=$Workbook$;Location=Table4;Extended Properties=&quot;&quot;" command="SELECT * FROM [Table4]"/>
  </connection>
  <connection id="3" xr16:uid="{4DA7196B-3D5E-4A9E-87E3-38EA4935ACBB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09EDFD78-6D7A-462F-8325-AEF2C8B9BF08}" name="WorksheetConnection_ACA Salary Survey Input Sheet.xlsx!Table112" type="102" refreshedVersion="6" minRefreshableVersion="5">
    <extLst>
      <ext xmlns:x15="http://schemas.microsoft.com/office/spreadsheetml/2010/11/main" uri="{DE250136-89BD-433C-8126-D09CA5730AF9}">
        <x15:connection id="Table112" autoDelete="1">
          <x15:rangePr sourceName="_xlcn.WorksheetConnection_ACASalarySurveyInputSheet.xlsxTable1121"/>
        </x15:connection>
      </ext>
    </extLst>
  </connection>
</connections>
</file>

<file path=xl/sharedStrings.xml><?xml version="1.0" encoding="utf-8"?>
<sst xmlns="http://schemas.openxmlformats.org/spreadsheetml/2006/main" count="421" uniqueCount="165">
  <si>
    <t>WELCOME</t>
  </si>
  <si>
    <t>The ACA has developed this tool as part of the Salary Survey.</t>
  </si>
  <si>
    <t>Its aim is to help improve the data input into the survey and ensure consistency of the data collected.</t>
  </si>
  <si>
    <t>Superannuation is automatically calculated (at 12%).</t>
  </si>
  <si>
    <t>FTE Salary is automatically calculated (based on a 38 full-time week).</t>
  </si>
  <si>
    <t>You will find a tab for each Salary Survey category grouping in architectural practices - architecture, technical, interior design, students and management.</t>
  </si>
  <si>
    <t>The intention is to make the input of salary data easier.</t>
  </si>
  <si>
    <t>We hope it helps.</t>
  </si>
  <si>
    <t>INSTRUCTIONS</t>
  </si>
  <si>
    <t>Note - the input cells are coloured blue</t>
  </si>
  <si>
    <t>For each Input Tab:</t>
  </si>
  <si>
    <t>Add employee/staff ID and salary they are paid.</t>
  </si>
  <si>
    <t>Add the hours worked by the employee.</t>
  </si>
  <si>
    <t>Full-time</t>
  </si>
  <si>
    <t>38 hours</t>
  </si>
  <si>
    <t>4 days</t>
  </si>
  <si>
    <t>30.4 hours</t>
  </si>
  <si>
    <t>3 days</t>
  </si>
  <si>
    <t>22.8 hours</t>
  </si>
  <si>
    <t>2 days</t>
  </si>
  <si>
    <t>15.2 hours</t>
  </si>
  <si>
    <t>1 day</t>
  </si>
  <si>
    <t>7.6 hours</t>
  </si>
  <si>
    <t>Use the dropdown menus to input position, gender and state.</t>
  </si>
  <si>
    <t>The data will be populate the tab titled SURVEY INPUT which you will use in the Salary Survey.</t>
  </si>
  <si>
    <t>Use the summarised data in the Survey Input tab to input into the Salary Survey.</t>
  </si>
  <si>
    <t>Architecture</t>
  </si>
  <si>
    <t>Staff ID</t>
  </si>
  <si>
    <t>Salary</t>
  </si>
  <si>
    <t>Super'n</t>
  </si>
  <si>
    <t>Hours worked/week</t>
  </si>
  <si>
    <t>FTE Salary</t>
  </si>
  <si>
    <t>Position</t>
  </si>
  <si>
    <t>Gender</t>
  </si>
  <si>
    <t>State</t>
  </si>
  <si>
    <t>Input Fields</t>
  </si>
  <si>
    <t>Experienced Director/Principal</t>
  </si>
  <si>
    <t>M</t>
  </si>
  <si>
    <t>QLD</t>
  </si>
  <si>
    <t>Experienced Associate over 2 years</t>
  </si>
  <si>
    <t>F</t>
  </si>
  <si>
    <t>Graduate up to 2 years</t>
  </si>
  <si>
    <t>ACT</t>
  </si>
  <si>
    <t>Technical</t>
  </si>
  <si>
    <t>Over 6 years</t>
  </si>
  <si>
    <t>Up to 6 years</t>
  </si>
  <si>
    <t>Interior Design</t>
  </si>
  <si>
    <t>Administration/Management</t>
  </si>
  <si>
    <t>Architectural Students</t>
  </si>
  <si>
    <t>Hourly Rate</t>
  </si>
  <si>
    <t>ARCHITECTURE</t>
  </si>
  <si>
    <t>QUEENSLAND</t>
  </si>
  <si>
    <t>NEW SOUTH WALES</t>
  </si>
  <si>
    <t>VICTORIA</t>
  </si>
  <si>
    <t>SOUTH AUSTRALIA</t>
  </si>
  <si>
    <t>WESTERN AUSTRALIA</t>
  </si>
  <si>
    <t>TASMANIA</t>
  </si>
  <si>
    <t>NORTHERN TERRITORY</t>
  </si>
  <si>
    <t>No. Staff</t>
  </si>
  <si>
    <t>Average</t>
  </si>
  <si>
    <t>Lowest</t>
  </si>
  <si>
    <t>Highest</t>
  </si>
  <si>
    <t>Graduate up to 2 years - male</t>
  </si>
  <si>
    <t>Graduate up to 2 years - female</t>
  </si>
  <si>
    <t>Experienced non-registered - male</t>
  </si>
  <si>
    <t>Experienced non-registered - female</t>
  </si>
  <si>
    <t>Registered up to 3 years - male</t>
  </si>
  <si>
    <t>Registered up to 3 years - female</t>
  </si>
  <si>
    <t>Registered up to 6 years - male</t>
  </si>
  <si>
    <t>Registered up to 6 years - female</t>
  </si>
  <si>
    <t>Registered over 6 years - male</t>
  </si>
  <si>
    <t>Registered over 6 years - female</t>
  </si>
  <si>
    <t>New Associate up to 2 years - male</t>
  </si>
  <si>
    <t>New Associate up to 2 years - female</t>
  </si>
  <si>
    <t>Experienced Associate over 2 years - male</t>
  </si>
  <si>
    <t>Experienced Associate over 2 years - female</t>
  </si>
  <si>
    <t>New Director/Principal - male</t>
  </si>
  <si>
    <t>New Director/Principal - female</t>
  </si>
  <si>
    <t>Experienced Director/Principal - male</t>
  </si>
  <si>
    <t>Experienced Director/Principal - female</t>
  </si>
  <si>
    <t>TECHNICAL</t>
  </si>
  <si>
    <t>less that 1 year - male</t>
  </si>
  <si>
    <t>less that 1 year - female</t>
  </si>
  <si>
    <t>Up to 3 years - male</t>
  </si>
  <si>
    <t>Up to 3 years - female</t>
  </si>
  <si>
    <t>Up to 6 years - male</t>
  </si>
  <si>
    <t>Up to 6 years - female</t>
  </si>
  <si>
    <t>Over 6 years - male</t>
  </si>
  <si>
    <t>Over 6 years - female</t>
  </si>
  <si>
    <t>BIM Modeller - male</t>
  </si>
  <si>
    <t>BIM Modeller - female</t>
  </si>
  <si>
    <t>BIM Manager - male</t>
  </si>
  <si>
    <t>BIM Manager - female</t>
  </si>
  <si>
    <t>INTERIOR DESIGN</t>
  </si>
  <si>
    <t>Graduate - male</t>
  </si>
  <si>
    <t>Graduate - female</t>
  </si>
  <si>
    <t>Up to 3 years experience - male</t>
  </si>
  <si>
    <t>Up to 3 years experience - female</t>
  </si>
  <si>
    <t>Up to 6 years experience - male</t>
  </si>
  <si>
    <t>Up to 6 years experience - female</t>
  </si>
  <si>
    <t>Over 6 years experience - male</t>
  </si>
  <si>
    <t>Over 6 years experience - female</t>
  </si>
  <si>
    <t>ADMINISTRATION/MANAGEMENT</t>
  </si>
  <si>
    <t>Reception/General Office Clerk - male</t>
  </si>
  <si>
    <t>Reception/General Office Clerk -female</t>
  </si>
  <si>
    <t>Personal Assistant - male</t>
  </si>
  <si>
    <t>Personal Assistant - female</t>
  </si>
  <si>
    <t>Inhouse IT Technician with qualification - male</t>
  </si>
  <si>
    <t>Inhouse IT Technician with qualification - female</t>
  </si>
  <si>
    <t>Bookkeeping - male</t>
  </si>
  <si>
    <t>Bookkeeping - female</t>
  </si>
  <si>
    <t>Finance Manager - male</t>
  </si>
  <si>
    <t>Finance Manager - female</t>
  </si>
  <si>
    <t>Financial Controller (Accounting Qualification) - male</t>
  </si>
  <si>
    <t>Financial Controller (Accounting Qualification) - female</t>
  </si>
  <si>
    <t>Human Resource Manager - male</t>
  </si>
  <si>
    <t>Human Resource Manager - female</t>
  </si>
  <si>
    <t>Marketing Manager - male</t>
  </si>
  <si>
    <t>Marketing Manager - female</t>
  </si>
  <si>
    <t>Practice Manager - male</t>
  </si>
  <si>
    <t>Practice Manager - female</t>
  </si>
  <si>
    <t>Chief Operating Officer/General Manager - male</t>
  </si>
  <si>
    <t>Chief Operating Officer/General Manager - female</t>
  </si>
  <si>
    <t>Chief Executive Officer/Managing Director - male</t>
  </si>
  <si>
    <t>Chief Executive Officer/Managing Director - female</t>
  </si>
  <si>
    <t>Non-executive Director - male</t>
  </si>
  <si>
    <t>Non-executive Director - female</t>
  </si>
  <si>
    <t>ARCHITECTURE STUDENTS</t>
  </si>
  <si>
    <t>Student</t>
  </si>
  <si>
    <t>DATA FIELDS</t>
  </si>
  <si>
    <t>Full-time hours per week</t>
  </si>
  <si>
    <t>Superannuation Rate</t>
  </si>
  <si>
    <t>Students</t>
  </si>
  <si>
    <t>less that 1 year</t>
  </si>
  <si>
    <t>Graduate</t>
  </si>
  <si>
    <t>Reception/General Office Clerk</t>
  </si>
  <si>
    <t>Experienced non-registered</t>
  </si>
  <si>
    <t>Up to 3 years</t>
  </si>
  <si>
    <t>Up to 3 years experience</t>
  </si>
  <si>
    <t>Personal Assistant</t>
  </si>
  <si>
    <t>Registered up to 3 years</t>
  </si>
  <si>
    <t>Up to 6 years experience</t>
  </si>
  <si>
    <t>Inhouse IT Technician with qualification</t>
  </si>
  <si>
    <t>Registered up to 6 years</t>
  </si>
  <si>
    <t>Over 6 years experience</t>
  </si>
  <si>
    <t>Bookkeeping</t>
  </si>
  <si>
    <t>Registered over 6 years</t>
  </si>
  <si>
    <t>BIM Modeller</t>
  </si>
  <si>
    <t>Finance Manager</t>
  </si>
  <si>
    <t>New Associate up to 2 years</t>
  </si>
  <si>
    <t>BIM Manager</t>
  </si>
  <si>
    <t>Financial Controller (Accounting Qualification)</t>
  </si>
  <si>
    <t>Human Resource Manager</t>
  </si>
  <si>
    <t>New Director/Principal</t>
  </si>
  <si>
    <t>Marketing Manager</t>
  </si>
  <si>
    <t>Practice Manager</t>
  </si>
  <si>
    <t>Chief Operating Officer/General Manager</t>
  </si>
  <si>
    <t>Chief Executive Officer/Managing Director</t>
  </si>
  <si>
    <t>Non-executive Director</t>
  </si>
  <si>
    <t>NSW</t>
  </si>
  <si>
    <t>VIC</t>
  </si>
  <si>
    <t>SA</t>
  </si>
  <si>
    <t>NT</t>
  </si>
  <si>
    <t>WA</t>
  </si>
  <si>
    <t>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</si>
</sst>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sz val="9"/>
      <color theme="1"/>
      <name val="Arial Narrow"/>
      <family val="2"/>
    </font>
    <font>
      <b/>
      <sz val="2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>
      <alignment vertical="center"/>
    </xf>
    <xf numFmtId="0" fontId="1" fillId="0" borderId="0"/>
    <xf numFmtId="0" fontId="1" fillId="0" borderId="0"/>
    <xf numFmtId="44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64" fontId="8" fillId="0" borderId="0" xfId="1" applyNumberFormat="1" applyFont="1"/>
    <xf numFmtId="0" fontId="2" fillId="3" borderId="6" xfId="0" applyFont="1" applyFill="1" applyBorder="1"/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164" fontId="8" fillId="0" borderId="11" xfId="1" applyNumberFormat="1" applyFont="1" applyBorder="1"/>
    <xf numFmtId="0" fontId="0" fillId="0" borderId="12" xfId="0" applyBorder="1"/>
    <xf numFmtId="164" fontId="8" fillId="0" borderId="10" xfId="1" applyNumberFormat="1" applyFont="1" applyBorder="1"/>
    <xf numFmtId="0" fontId="0" fillId="0" borderId="8" xfId="0" applyBorder="1"/>
    <xf numFmtId="0" fontId="0" fillId="0" borderId="13" xfId="0" applyBorder="1"/>
    <xf numFmtId="164" fontId="8" fillId="0" borderId="9" xfId="1" applyNumberFormat="1" applyFont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4" fontId="8" fillId="4" borderId="11" xfId="1" applyNumberFormat="1" applyFont="1" applyFill="1" applyBorder="1"/>
    <xf numFmtId="164" fontId="8" fillId="4" borderId="10" xfId="1" applyNumberFormat="1" applyFont="1" applyFill="1" applyBorder="1"/>
    <xf numFmtId="164" fontId="8" fillId="4" borderId="9" xfId="1" applyNumberFormat="1" applyFont="1" applyFill="1" applyBorder="1"/>
    <xf numFmtId="164" fontId="8" fillId="4" borderId="14" xfId="1" applyNumberFormat="1" applyFont="1" applyFill="1" applyBorder="1"/>
    <xf numFmtId="164" fontId="8" fillId="4" borderId="15" xfId="1" applyNumberFormat="1" applyFont="1" applyFill="1" applyBorder="1"/>
    <xf numFmtId="164" fontId="8" fillId="4" borderId="16" xfId="1" applyNumberFormat="1" applyFont="1" applyFill="1" applyBorder="1"/>
    <xf numFmtId="0" fontId="2" fillId="3" borderId="7" xfId="0" applyFont="1" applyFill="1" applyBorder="1" applyAlignment="1">
      <alignment horizontal="left"/>
    </xf>
    <xf numFmtId="0" fontId="0" fillId="2" borderId="10" xfId="0" applyFill="1" applyBorder="1" applyAlignment="1">
      <alignment vertical="center" wrapText="1"/>
    </xf>
    <xf numFmtId="0" fontId="5" fillId="2" borderId="10" xfId="5" applyFont="1" applyFill="1" applyBorder="1"/>
    <xf numFmtId="0" fontId="0" fillId="2" borderId="0" xfId="0" applyFill="1"/>
    <xf numFmtId="164" fontId="8" fillId="0" borderId="11" xfId="1" applyNumberFormat="1" applyFont="1" applyFill="1" applyBorder="1"/>
    <xf numFmtId="164" fontId="8" fillId="0" borderId="10" xfId="1" applyNumberFormat="1" applyFont="1" applyFill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0" fontId="0" fillId="2" borderId="0" xfId="0" applyNumberFormat="1" applyFill="1"/>
    <xf numFmtId="0" fontId="14" fillId="0" borderId="0" xfId="0" applyFont="1"/>
    <xf numFmtId="0" fontId="15" fillId="2" borderId="10" xfId="5" applyFont="1" applyFill="1" applyBorder="1"/>
    <xf numFmtId="165" fontId="15" fillId="2" borderId="10" xfId="39" applyNumberFormat="1" applyFont="1" applyFill="1" applyBorder="1"/>
    <xf numFmtId="165" fontId="15" fillId="0" borderId="10" xfId="6" applyNumberFormat="1" applyFont="1" applyFill="1" applyBorder="1"/>
    <xf numFmtId="164" fontId="16" fillId="2" borderId="10" xfId="1" applyNumberFormat="1" applyFont="1" applyFill="1" applyBorder="1" applyAlignment="1">
      <alignment horizontal="right" vertical="center"/>
    </xf>
    <xf numFmtId="165" fontId="15" fillId="0" borderId="10" xfId="39" applyNumberFormat="1" applyFont="1" applyFill="1" applyBorder="1"/>
    <xf numFmtId="44" fontId="15" fillId="2" borderId="10" xfId="39" applyFont="1" applyFill="1" applyBorder="1"/>
    <xf numFmtId="44" fontId="15" fillId="2" borderId="10" xfId="39" applyFont="1" applyFill="1" applyBorder="1" applyAlignment="1">
      <alignment horizontal="center"/>
    </xf>
    <xf numFmtId="0" fontId="15" fillId="2" borderId="10" xfId="86" applyFont="1" applyFill="1" applyBorder="1"/>
    <xf numFmtId="165" fontId="15" fillId="2" borderId="10" xfId="29" applyNumberFormat="1" applyFont="1" applyFill="1" applyBorder="1"/>
    <xf numFmtId="44" fontId="15" fillId="2" borderId="10" xfId="29" applyFont="1" applyFill="1" applyBorder="1"/>
    <xf numFmtId="44" fontId="15" fillId="2" borderId="10" xfId="29" applyFont="1" applyFill="1" applyBorder="1" applyAlignment="1">
      <alignment horizontal="center"/>
    </xf>
    <xf numFmtId="0" fontId="15" fillId="2" borderId="10" xfId="8" applyFont="1" applyFill="1" applyBorder="1"/>
    <xf numFmtId="44" fontId="15" fillId="0" borderId="10" xfId="6" applyFont="1" applyFill="1" applyBorder="1"/>
    <xf numFmtId="0" fontId="16" fillId="2" borderId="10" xfId="0" applyFont="1" applyFill="1" applyBorder="1"/>
    <xf numFmtId="44" fontId="15" fillId="0" borderId="10" xfId="39" applyFont="1" applyFill="1" applyBorder="1"/>
    <xf numFmtId="44" fontId="17" fillId="2" borderId="10" xfId="39" applyFont="1" applyFill="1" applyBorder="1"/>
    <xf numFmtId="44" fontId="17" fillId="0" borderId="10" xfId="6" applyFont="1" applyFill="1" applyBorder="1"/>
    <xf numFmtId="0" fontId="8" fillId="2" borderId="10" xfId="0" applyFont="1" applyFill="1" applyBorder="1"/>
    <xf numFmtId="44" fontId="17" fillId="0" borderId="10" xfId="39" applyFont="1" applyFill="1" applyBorder="1"/>
    <xf numFmtId="44" fontId="17" fillId="2" borderId="10" xfId="39" applyFont="1" applyFill="1" applyBorder="1" applyAlignment="1">
      <alignment horizontal="center"/>
    </xf>
    <xf numFmtId="0" fontId="2" fillId="3" borderId="7" xfId="0" applyFont="1" applyFill="1" applyBorder="1"/>
    <xf numFmtId="0" fontId="0" fillId="0" borderId="20" xfId="0" applyBorder="1"/>
    <xf numFmtId="0" fontId="2" fillId="3" borderId="21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center"/>
    </xf>
    <xf numFmtId="0" fontId="2" fillId="3" borderId="21" xfId="0" applyFont="1" applyFill="1" applyBorder="1"/>
    <xf numFmtId="0" fontId="11" fillId="5" borderId="0" xfId="0" applyFont="1" applyFill="1" applyAlignment="1">
      <alignment horizontal="center"/>
    </xf>
    <xf numFmtId="0" fontId="9" fillId="3" borderId="17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</cellXfs>
  <cellStyles count="98">
    <cellStyle name="Comma" xfId="1" builtinId="3"/>
    <cellStyle name="Comma 2" xfId="28" xr:uid="{71FA1FEC-44DA-4078-B137-284008331AFC}"/>
    <cellStyle name="Comma 2 2" xfId="43" xr:uid="{7A9FDCD1-41D1-4ABE-A973-00591B2A1591}"/>
    <cellStyle name="Comma 2 3" xfId="57" xr:uid="{9581484D-04DF-473C-851E-F37C9C7563DB}"/>
    <cellStyle name="Comma 2 5" xfId="21" xr:uid="{3D2B2677-CDE8-4061-B973-1DC943003191}"/>
    <cellStyle name="Comma 2 5 2" xfId="36" xr:uid="{84B39A6B-B631-40D2-802F-DAA257B93888}"/>
    <cellStyle name="Comma 2 5 2 2" xfId="65" xr:uid="{71019DFB-42FC-4736-8357-4212EE867A47}"/>
    <cellStyle name="Comma 2 5 3" xfId="52" xr:uid="{ECECE0B8-7675-4AAD-AE5F-BA412C9E8854}"/>
    <cellStyle name="Comma 3" xfId="44" xr:uid="{4C4E9E1F-24F7-4695-847F-42FBE9B2A4BC}"/>
    <cellStyle name="Comma 3 2" xfId="88" xr:uid="{AFDC386E-05E1-46CC-82A9-3A155852339C}"/>
    <cellStyle name="Comma 4" xfId="13" xr:uid="{20A38C91-AE61-4345-92E5-0418213FDAF0}"/>
    <cellStyle name="Comma 5" xfId="2" xr:uid="{EACB178A-C41C-4777-B896-BDB50A64205E}"/>
    <cellStyle name="Comma 6" xfId="16" xr:uid="{8C4F5A7E-FB2B-4705-8DA2-6E833EE39E8D}"/>
    <cellStyle name="Comma 6 2" xfId="31" xr:uid="{59F7C150-3F92-427D-9164-8CF86186E566}"/>
    <cellStyle name="Comma 6 2 2" xfId="60" xr:uid="{735CF57C-0292-43F1-A4E5-4884268DA4DE}"/>
    <cellStyle name="Comma 6 3" xfId="19" xr:uid="{A5B6361F-C977-4D04-A9ED-CCDB5FA19BAD}"/>
    <cellStyle name="Comma 6 3 2" xfId="20" xr:uid="{0717F250-022F-4C60-8E31-7EBEFA0E4DF5}"/>
    <cellStyle name="Comma 6 3 2 2" xfId="35" xr:uid="{AE7D9C6D-F567-4A12-9F6F-37195E97DDAA}"/>
    <cellStyle name="Comma 6 3 2 2 2" xfId="64" xr:uid="{C344B09A-5B01-4720-8C76-B087D7AD733D}"/>
    <cellStyle name="Comma 6 3 2 3" xfId="51" xr:uid="{7C2D3C32-7176-4DEB-A64A-11B34F4B3D4E}"/>
    <cellStyle name="Comma 6 3 3" xfId="33" xr:uid="{E9D1E06D-7667-465B-9A69-964A0C6A7382}"/>
    <cellStyle name="Comma 6 3 3 2" xfId="62" xr:uid="{FC1B1FD6-7D78-4889-880D-598B52C30D3E}"/>
    <cellStyle name="Comma 6 3 4" xfId="49" xr:uid="{0D6D85AB-70D5-46E4-9F19-8C063C79FC31}"/>
    <cellStyle name="Comma 6 4" xfId="47" xr:uid="{CB58CBE0-69BA-48EE-BB60-329EF1B0E588}"/>
    <cellStyle name="Currency [0] 2" xfId="22" xr:uid="{EB28B992-FA4E-4364-B9AE-D1EA930042F6}"/>
    <cellStyle name="Currency [0] 2 2" xfId="37" xr:uid="{4BB5FDE2-BD33-43A7-8D52-F9541D9BB29E}"/>
    <cellStyle name="Currency [0] 2 2 2" xfId="66" xr:uid="{36B7B866-C6CC-4B79-97E7-F8B97C8A371F}"/>
    <cellStyle name="Currency [0] 2 3" xfId="53" xr:uid="{2F38F286-EAC6-4976-B2C2-334650C0C223}"/>
    <cellStyle name="Currency [0] 3" xfId="30" xr:uid="{037AC58D-4D2D-497D-B27C-F84D59C0A59D}"/>
    <cellStyle name="Currency [0] 3 2" xfId="59" xr:uid="{65605861-39A6-4DDE-885F-4783024F9F5D}"/>
    <cellStyle name="Currency [0] 4" xfId="46" xr:uid="{B1D159F7-252A-4AAF-B339-40FBE8660E4E}"/>
    <cellStyle name="Currency [0] 5" xfId="14" xr:uid="{7D98FDAE-81A3-4C3A-92D2-231748AE3036}"/>
    <cellStyle name="Currency 10" xfId="77" xr:uid="{C99868A1-41F5-425F-8528-32C02037B49C}"/>
    <cellStyle name="Currency 11" xfId="78" xr:uid="{5A9A5047-7443-48D4-BA7C-5002BFEB7BE3}"/>
    <cellStyle name="Currency 12" xfId="79" xr:uid="{3C099B03-940B-48C9-A0F7-7B7D5B2C3727}"/>
    <cellStyle name="Currency 13" xfId="80" xr:uid="{CC852972-A0F5-4A16-BFA4-F8FAB3D198AC}"/>
    <cellStyle name="Currency 14" xfId="81" xr:uid="{EA488551-743F-4DC7-A76F-88F3C3F67E86}"/>
    <cellStyle name="Currency 15" xfId="82" xr:uid="{343F9E4E-361E-4BE2-86E7-B5D8DADD6F13}"/>
    <cellStyle name="Currency 16" xfId="83" xr:uid="{33A7111C-1A32-42C4-AFA0-06DE03CD68B6}"/>
    <cellStyle name="Currency 17" xfId="84" xr:uid="{109EEA32-1138-4F3E-9E07-BE50EAB3BA30}"/>
    <cellStyle name="Currency 18" xfId="85" xr:uid="{40FE409A-DA6D-45DC-AB9F-E0B20BE1F164}"/>
    <cellStyle name="Currency 2" xfId="29" xr:uid="{B518932A-809B-4F9A-AD25-1C53722AB18E}"/>
    <cellStyle name="Currency 2 2" xfId="6" xr:uid="{B17B8805-955C-4F27-B551-1D1589B7265A}"/>
    <cellStyle name="Currency 2 2 2" xfId="39" xr:uid="{6458E76F-EA54-46A3-BD79-AC3668D4B6EF}"/>
    <cellStyle name="Currency 2 2 2 2" xfId="68" xr:uid="{086AA14A-7C74-45C7-944B-AC21E3E34D83}"/>
    <cellStyle name="Currency 2 2 3" xfId="55" xr:uid="{B17863D0-916A-4538-A908-3F70F3750E16}"/>
    <cellStyle name="Currency 2 2 4" xfId="25" xr:uid="{B5A5C1D4-1CF7-4D45-ACC5-F77A94FD15DA}"/>
    <cellStyle name="Currency 2 3" xfId="58" xr:uid="{03D1F5AB-949E-4071-9288-5A0F74670FDC}"/>
    <cellStyle name="Currency 2 4" xfId="96" xr:uid="{8014D465-F03F-4C52-8AF9-47BD2B327A06}"/>
    <cellStyle name="Currency 3" xfId="41" xr:uid="{C57CD143-D3E6-4B06-BF57-E3E9E0FA2BBE}"/>
    <cellStyle name="Currency 3 2" xfId="70" xr:uid="{97A743F9-CC87-417F-89B9-19F279F72ACD}"/>
    <cellStyle name="Currency 4" xfId="45" xr:uid="{A922C080-B9C6-48D9-A0A9-A1F707654E18}"/>
    <cellStyle name="Currency 5" xfId="72" xr:uid="{9953EC84-A9C4-40CF-8A73-E8FAF87032A7}"/>
    <cellStyle name="Currency 6" xfId="73" xr:uid="{32AAAB07-2CB3-42F7-8155-721C94095AE6}"/>
    <cellStyle name="Currency 7" xfId="74" xr:uid="{F8263F9F-4771-4650-959F-DA87B78BC797}"/>
    <cellStyle name="Currency 8" xfId="75" xr:uid="{7224E262-21DE-435C-9A5E-9E8224118D39}"/>
    <cellStyle name="Currency 9" xfId="76" xr:uid="{41B3CD8F-8214-4AD7-9675-E337D83464F4}"/>
    <cellStyle name="Normal" xfId="0" builtinId="0"/>
    <cellStyle name="Normal 11" xfId="17" xr:uid="{36B7C256-E593-4200-BDC0-7751514A3637}"/>
    <cellStyle name="Normal 12 2" xfId="11" xr:uid="{C251CDE4-71ED-4296-8FBC-995390557462}"/>
    <cellStyle name="Normal 12 2 2" xfId="34" xr:uid="{F5D0E46F-1359-4E63-8AD6-3D35919AE027}"/>
    <cellStyle name="Normal 12 2 2 2" xfId="63" xr:uid="{CAC4F9A9-86D5-493C-9C92-4BE4C5F80A5F}"/>
    <cellStyle name="Normal 12 2 3" xfId="23" xr:uid="{B1FAD2CC-D652-41AC-BF61-10DA1B008E0C}"/>
    <cellStyle name="Normal 12 2 3 2" xfId="26" xr:uid="{91E5C4FD-4ACB-4B36-A506-E717348AF236}"/>
    <cellStyle name="Normal 12 2 3 2 2" xfId="40" xr:uid="{8D31D16B-DC63-4BDF-A4F3-2BB1E63390A1}"/>
    <cellStyle name="Normal 12 2 3 2 2 2" xfId="69" xr:uid="{41579F8D-DC3D-4A37-BC21-5FE157A48957}"/>
    <cellStyle name="Normal 12 2 3 2 3" xfId="56" xr:uid="{CDEEA16A-2114-4639-862D-C2EEADA9AD5F}"/>
    <cellStyle name="Normal 12 2 3 3" xfId="38" xr:uid="{78EC07A0-B1E8-43FA-BE9B-3D88BCAD7E3A}"/>
    <cellStyle name="Normal 12 2 3 3 2" xfId="67" xr:uid="{F5B4B5A5-A886-405B-9A3F-2DC68D22E07F}"/>
    <cellStyle name="Normal 12 2 3 4" xfId="54" xr:uid="{01DF8BA7-E346-4775-8563-F9DA4E0066D6}"/>
    <cellStyle name="Normal 12 2 4" xfId="50" xr:uid="{7AB02280-16D8-4432-832F-B1402DB8C7D8}"/>
    <cellStyle name="Normal 14" xfId="93" xr:uid="{C82F1AC2-A3B8-4961-9CE0-C81D4CE05BE7}"/>
    <cellStyle name="Normal 16" xfId="10" xr:uid="{385B04A5-81EC-430A-9684-84BE506207EE}"/>
    <cellStyle name="Normal 16 2" xfId="95" xr:uid="{ABE11983-D889-4FB5-834A-EA5011BF2ADC}"/>
    <cellStyle name="Normal 2" xfId="18" xr:uid="{3F687ACB-5722-45BD-8000-B75C6854E25B}"/>
    <cellStyle name="Normal 2 2" xfId="3" xr:uid="{D9BD3B67-ABEB-43A8-AEC0-345FD9190B9D}"/>
    <cellStyle name="Normal 2 2 2" xfId="61" xr:uid="{481E4588-7301-4E3B-B329-DFE65104DF67}"/>
    <cellStyle name="Normal 2 2 3" xfId="32" xr:uid="{AC3B6384-0319-4D5F-A6D7-1CC5E275C735}"/>
    <cellStyle name="Normal 2 3" xfId="15" xr:uid="{C4CDA052-F5A2-4668-8111-DE92AB4B95CF}"/>
    <cellStyle name="Normal 2 4" xfId="48" xr:uid="{BE3A0720-1494-4EA9-A62D-5A85A819143E}"/>
    <cellStyle name="Normal 3" xfId="12" xr:uid="{7A7041A5-CFA9-4B23-B081-BDD663E93E59}"/>
    <cellStyle name="Normal 4" xfId="94" xr:uid="{C95D1F7D-2826-4F9F-B842-F37BF0B74B7F}"/>
    <cellStyle name="Normal 5" xfId="5" xr:uid="{9BFB6C19-E627-4E04-806C-639F87E51D40}"/>
    <cellStyle name="Normal 5 7" xfId="8" xr:uid="{35D978EC-BF67-4763-BA28-76D99A9BE4C1}"/>
    <cellStyle name="Normal 5 7 2" xfId="86" xr:uid="{5C5F1D61-0E23-4DAB-83E1-5D42088E61D1}"/>
    <cellStyle name="Normal 5 9" xfId="91" xr:uid="{93A43FCC-5868-47E9-9A90-F9A95152ABC9}"/>
    <cellStyle name="Normal 6" xfId="42" xr:uid="{A17ADB7D-DA07-4CE4-BA18-0702AF3D76A7}"/>
    <cellStyle name="Normal 6 2" xfId="92" xr:uid="{F2F005AE-B96E-4B3A-9A38-75413B02C9C3}"/>
    <cellStyle name="Normal 7" xfId="71" xr:uid="{FE58A099-04B0-42EC-81F3-D72974A17581}"/>
    <cellStyle name="Normal 7 2 2" xfId="27" xr:uid="{3FD45B71-EC59-4C85-8B3C-BBAE4C4EE172}"/>
    <cellStyle name="Percent 2" xfId="89" xr:uid="{224575F2-A7EF-41FC-9D46-9838FF2CE35F}"/>
    <cellStyle name="Percent 2 2" xfId="4" xr:uid="{02C65359-B09F-4962-8AF3-AB49D03E15DB}"/>
    <cellStyle name="Percent 2 2 2" xfId="24" xr:uid="{00BB753A-64C7-46DB-B6A9-88769F2E1A53}"/>
    <cellStyle name="Percent 2 3" xfId="87" xr:uid="{A6BEA1E3-C7E7-4AC4-88EE-377AE9888DFA}"/>
    <cellStyle name="Percent 3" xfId="7" xr:uid="{05B94513-4213-44F1-A8FD-D0D9480B68F0}"/>
    <cellStyle name="Percent 5" xfId="97" xr:uid="{5E96B976-14D2-43DF-AA6A-A35196906729}"/>
    <cellStyle name="Percent 8" xfId="9" xr:uid="{E1F7058A-3964-4D8F-B2EE-B4A8FB112A3B}"/>
    <cellStyle name="Percent 8 2" xfId="90" xr:uid="{AB6B3450-03B3-4212-A2DA-BA34F81BBBDC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_-* #,##0_-;\-* #,##0_-;_-* &quot;-&quot;??_-;_-@_-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-&quot;$&quot;* #,##0_-;\-&quot;$&quot;* #,##0_-;_-&quot;$&quot;* &quot;-&quot;??_-;_-@_-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DCC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6354469-1BA0-4EF8-A16C-C13A594F8E47}" name="Table7" displayName="Table7" ref="B2:I50" totalsRowShown="0" headerRowDxfId="47" dataDxfId="46" dataCellStyle="Currency 2 2 2">
  <autoFilter ref="B2:I50" xr:uid="{D7CC3D6C-B00C-475E-92AC-B60FC0FC40D7}"/>
  <tableColumns count="8">
    <tableColumn id="1" xr3:uid="{D17CC366-C98C-4248-8B2A-82C7A13FACF2}" name="Staff ID" dataDxfId="45" dataCellStyle="Normal 5 7"/>
    <tableColumn id="2" xr3:uid="{EEA7843C-B1C2-4E1C-A0A1-5E3E2896CD7E}" name="Salary" dataDxfId="44" dataCellStyle="Currency 2 2 2"/>
    <tableColumn id="3" xr3:uid="{5E752D32-EDBA-48A7-96E2-1B53A0791265}" name="Super'n" dataDxfId="43" dataCellStyle="Currency 2 2">
      <calculatedColumnFormula>C3*Data!$B$4</calculatedColumnFormula>
    </tableColumn>
    <tableColumn id="4" xr3:uid="{3D2D1BB5-9FAC-4772-98AD-50FC9B2F0B15}" name="Hours worked/week" dataDxfId="42" dataCellStyle="Comma"/>
    <tableColumn id="5" xr3:uid="{1D5C77FA-3BF6-478F-B1FD-5A7ACC6BC7BA}" name="FTE Salary" dataDxfId="41" dataCellStyle="Currency 2 2 2">
      <calculatedColumnFormula>(C3+D3)/(E3/Data!$B$3)</calculatedColumnFormula>
    </tableColumn>
    <tableColumn id="6" xr3:uid="{ABCEDC8F-0FA4-4446-86A6-1E5F0BC63626}" name="Position" dataDxfId="40" dataCellStyle="Currency 2 2 2"/>
    <tableColumn id="7" xr3:uid="{E86D49B7-FD73-4251-848F-EC07FC9CC667}" name="Gender" dataDxfId="39" dataCellStyle="Currency 2 2 2"/>
    <tableColumn id="8" xr3:uid="{264B72C0-5F98-44BE-8F68-D7472A785BC8}" name="State" dataDxfId="38" dataCellStyle="Currency 2 2 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6B3C9CC-191B-44A4-8651-EEA0D513F872}" name="Table9" displayName="Table9" ref="B2:I50" totalsRowShown="0" headerRowDxfId="37" dataDxfId="36" dataCellStyle="Currency 2 2 2">
  <autoFilter ref="B2:I50" xr:uid="{BC7E51C3-3A83-4F54-805B-E90DA1F35C28}"/>
  <tableColumns count="8">
    <tableColumn id="1" xr3:uid="{10B659AD-B017-4BE4-ACCC-F5984D45798A}" name="Staff ID" dataDxfId="35" dataCellStyle="Normal 5"/>
    <tableColumn id="2" xr3:uid="{8CF39E8C-F190-4148-8859-B7CB15AFB70C}" name="Salary" dataDxfId="34" dataCellStyle="Currency 2 2 2"/>
    <tableColumn id="3" xr3:uid="{57390E7A-3B8A-4670-98F4-FFED0AF8B3E1}" name="Super'n" dataDxfId="33" dataCellStyle="Currency 2 2">
      <calculatedColumnFormula>C3*Data!$B$4</calculatedColumnFormula>
    </tableColumn>
    <tableColumn id="4" xr3:uid="{533F47CC-3007-4FBE-ADC6-F0FC0E67B621}" name="Hours worked/week" dataDxfId="32"/>
    <tableColumn id="5" xr3:uid="{CC39ECB1-4045-4631-A961-966B1FE770D6}" name="FTE Salary" dataDxfId="31" dataCellStyle="Currency 2 2 2">
      <calculatedColumnFormula>(C3+D3)/(E3/Data!$B$3)</calculatedColumnFormula>
    </tableColumn>
    <tableColumn id="6" xr3:uid="{645D3D44-8EC3-43E8-99EA-3DCA0775179B}" name="Position" dataDxfId="30" dataCellStyle="Currency 2 2 2"/>
    <tableColumn id="7" xr3:uid="{4D97EEFE-5A4B-41A3-8A42-5D6102C77B08}" name="Gender" dataDxfId="29" dataCellStyle="Currency 2 2 2"/>
    <tableColumn id="8" xr3:uid="{8D7DDCF4-EE32-4935-BBD4-212EC38C8412}" name="State" dataDxfId="28" dataCellStyle="Currency 2 2 2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FE6F987-55D3-4336-80D9-4118882838DD}" name="Table10" displayName="Table10" ref="B2:I50" totalsRowShown="0" headerRowDxfId="27" dataDxfId="26" dataCellStyle="Currency 2 2 2">
  <autoFilter ref="B2:I50" xr:uid="{56774747-8477-447A-B30E-4C7EA028198E}"/>
  <tableColumns count="8">
    <tableColumn id="1" xr3:uid="{201754FC-8989-4B27-B0FD-B114B286EDB0}" name="Staff ID" dataDxfId="25" dataCellStyle="Normal 5"/>
    <tableColumn id="2" xr3:uid="{473D9B4D-CC84-4CF5-A90C-AE8FF1F46812}" name="Salary" dataDxfId="24" dataCellStyle="Currency 2 2 2"/>
    <tableColumn id="3" xr3:uid="{930315CE-723A-4EC1-9416-F4A7E7A8DACA}" name="Super'n" dataDxfId="23" dataCellStyle="Currency 2 2">
      <calculatedColumnFormula>C3*Data!$B$4</calculatedColumnFormula>
    </tableColumn>
    <tableColumn id="4" xr3:uid="{A14BF759-51C2-4132-BD11-E7993CFF7550}" name="Hours worked/week" dataDxfId="22"/>
    <tableColumn id="5" xr3:uid="{43597F51-1EE8-4515-9A13-7F3211229970}" name="FTE Salary" dataDxfId="21" dataCellStyle="Currency 2 2 2">
      <calculatedColumnFormula>(C3+D3)/(E3/Data!$B$3)</calculatedColumnFormula>
    </tableColumn>
    <tableColumn id="6" xr3:uid="{ACAC1991-F760-47A7-96B7-568737993F13}" name="Position" dataDxfId="20" dataCellStyle="Currency 2 2 2"/>
    <tableColumn id="7" xr3:uid="{CF2F2248-6A7F-40D8-A631-668F843053D3}" name="Gender" dataDxfId="19" dataCellStyle="Currency 2 2 2"/>
    <tableColumn id="8" xr3:uid="{5F703485-E54E-4550-A7CE-7235DB7F55F0}" name="State" dataDxfId="18" dataCellStyle="Currency 2 2 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607625E-F6D3-475F-8411-3DA1B19963F1}" name="Table11" displayName="Table11" ref="B2:I50" totalsRowShown="0" headerRowDxfId="17" dataDxfId="16" dataCellStyle="Currency 2 2 2">
  <autoFilter ref="B2:I50" xr:uid="{B8D926FC-9319-4369-A8A7-49D04BB57DC0}"/>
  <tableColumns count="8">
    <tableColumn id="1" xr3:uid="{0204B30B-177E-45C6-810E-1582039C255D}" name="Staff ID" dataDxfId="15" dataCellStyle="Normal 5"/>
    <tableColumn id="2" xr3:uid="{019C1DB9-84CC-4ADD-96DB-EA94AF47B807}" name="Salary" dataDxfId="14" dataCellStyle="Currency 2 2 2"/>
    <tableColumn id="3" xr3:uid="{26907668-ADD6-46C7-9265-27AD1BB5FF3C}" name="Super'n" dataDxfId="13" dataCellStyle="Currency 2 2">
      <calculatedColumnFormula>C3*Data!$B$4</calculatedColumnFormula>
    </tableColumn>
    <tableColumn id="4" xr3:uid="{279A45AB-541F-4A93-80BE-65DD1845F344}" name="Hours worked/week" dataDxfId="12"/>
    <tableColumn id="5" xr3:uid="{0121DEC6-5C09-4A90-B552-1937D8C605D2}" name="FTE Salary" dataDxfId="11" dataCellStyle="Currency 2 2 2">
      <calculatedColumnFormula>(C3+D3)/(E3/Data!$B$3)</calculatedColumnFormula>
    </tableColumn>
    <tableColumn id="6" xr3:uid="{0FDDDA17-7254-4C2A-9EEF-80F125ECC4C9}" name="Position" dataDxfId="10" dataCellStyle="Currency 2 2 2"/>
    <tableColumn id="7" xr3:uid="{B7CC3679-747B-436D-B205-E9583808F55D}" name="Gender" dataDxfId="9" dataCellStyle="Currency 2 2 2"/>
    <tableColumn id="8" xr3:uid="{A95341BF-4BB4-4130-934C-7B96BB75739E}" name="State" dataDxfId="8" dataCellStyle="Currency 2 2 2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D8E11C-DA9A-4B1B-B034-287A21BACE2C}" name="Table112" displayName="Table112" ref="B2:G50" totalsRowShown="0" headerRowDxfId="7" dataDxfId="6" dataCellStyle="Currency 2 2 2">
  <autoFilter ref="B2:G50" xr:uid="{B8D926FC-9319-4369-A8A7-49D04BB57DC0}"/>
  <tableColumns count="6">
    <tableColumn id="1" xr3:uid="{073BB347-3CD5-4D14-AFF6-26F9B3E9BCB4}" name="Staff ID" dataDxfId="5" dataCellStyle="Normal 5"/>
    <tableColumn id="2" xr3:uid="{6838993F-9E65-41B5-A4EE-7D2DE0068F06}" name="Hourly Rate" dataDxfId="4" dataCellStyle="Currency 2 2 2"/>
    <tableColumn id="3" xr3:uid="{B374E363-4C26-4E8B-91A2-8B059BC887CD}" name="Super'n" dataDxfId="3" dataCellStyle="Currency 2 2">
      <calculatedColumnFormula>C3*Data!$B$4</calculatedColumnFormula>
    </tableColumn>
    <tableColumn id="4" xr3:uid="{A28597B7-A2E8-44CE-8D23-A649E45F2328}" name="Hours worked/week" dataDxfId="2"/>
    <tableColumn id="5" xr3:uid="{8D5C1FDD-0A84-4F64-BCCF-33FAE33792EA}" name="FTE Salary" dataDxfId="1" dataCellStyle="Currency 2 2 2">
      <calculatedColumnFormula>((C3+D3)*E3*52)/(Table112[[#This Row],[Hours worked/week]]/Data!$B$3)</calculatedColumnFormula>
    </tableColumn>
    <tableColumn id="8" xr3:uid="{14483AD5-A379-4B51-94C3-ABAB45482220}" name="State" dataDxfId="0" dataCellStyle="Currency 2 2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759E-9287-4579-BEC8-60B17AC08EA8}">
  <dimension ref="B1:O23"/>
  <sheetViews>
    <sheetView showGridLines="0" showRowColHeaders="0" workbookViewId="0">
      <selection activeCell="R26" sqref="R26"/>
    </sheetView>
  </sheetViews>
  <sheetFormatPr defaultColWidth="8.81640625" defaultRowHeight="14.5" x14ac:dyDescent="0.35"/>
  <cols>
    <col min="1" max="1" width="4.81640625" customWidth="1"/>
    <col min="2" max="2" width="3.81640625" customWidth="1"/>
    <col min="4" max="4" width="2.453125" customWidth="1"/>
  </cols>
  <sheetData>
    <row r="1" spans="2:15" ht="18.5" x14ac:dyDescent="0.45"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5" ht="19.899999999999999" customHeight="1" x14ac:dyDescent="0.45"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ht="19.899999999999999" customHeight="1" x14ac:dyDescent="0.45">
      <c r="B3" s="32" t="s">
        <v>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 ht="19.899999999999999" customHeight="1" x14ac:dyDescent="0.45">
      <c r="B4" s="32"/>
      <c r="C4" s="32" t="s">
        <v>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19.899999999999999" customHeight="1" x14ac:dyDescent="0.45">
      <c r="B5" s="32"/>
      <c r="C5" s="32" t="s">
        <v>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2:15" ht="19.899999999999999" customHeight="1" x14ac:dyDescent="0.45">
      <c r="B6" s="32" t="s">
        <v>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 ht="19.899999999999999" customHeight="1" x14ac:dyDescent="0.45">
      <c r="B7" s="32" t="s">
        <v>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5" ht="19.899999999999999" customHeight="1" x14ac:dyDescent="0.45">
      <c r="B8" s="32" t="s">
        <v>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 ht="18.5" x14ac:dyDescent="0.4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5" ht="18.5" x14ac:dyDescent="0.45">
      <c r="B10" s="31" t="s">
        <v>8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2:15" ht="18.5" x14ac:dyDescent="0.45">
      <c r="B11" s="31" t="s">
        <v>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2:15" ht="19.899999999999999" customHeight="1" x14ac:dyDescent="0.45">
      <c r="B12" s="32" t="s">
        <v>10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2:15" ht="19.899999999999999" customHeight="1" x14ac:dyDescent="0.45">
      <c r="B13" s="33">
        <v>1</v>
      </c>
      <c r="C13" s="32" t="s">
        <v>11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2:15" ht="19.899999999999999" customHeight="1" x14ac:dyDescent="0.45">
      <c r="B14" s="33">
        <v>2</v>
      </c>
      <c r="C14" s="32" t="s">
        <v>12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2:15" ht="19.899999999999999" customHeight="1" x14ac:dyDescent="0.45">
      <c r="B15" s="33"/>
      <c r="C15" s="32" t="s">
        <v>13</v>
      </c>
      <c r="D15" s="32"/>
      <c r="E15" s="32" t="s">
        <v>14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2:15" ht="19.899999999999999" customHeight="1" x14ac:dyDescent="0.45">
      <c r="B16" s="33"/>
      <c r="C16" s="32" t="s">
        <v>15</v>
      </c>
      <c r="D16" s="32"/>
      <c r="E16" s="32" t="s">
        <v>16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2:15" ht="19.899999999999999" customHeight="1" x14ac:dyDescent="0.45">
      <c r="B17" s="33"/>
      <c r="C17" s="32" t="s">
        <v>17</v>
      </c>
      <c r="D17" s="32"/>
      <c r="E17" s="32" t="s">
        <v>18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2:15" ht="19.899999999999999" customHeight="1" x14ac:dyDescent="0.45">
      <c r="B18" s="33"/>
      <c r="C18" s="32" t="s">
        <v>19</v>
      </c>
      <c r="D18" s="32"/>
      <c r="E18" s="32" t="s">
        <v>20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2:15" ht="19.899999999999999" customHeight="1" x14ac:dyDescent="0.45">
      <c r="B19" s="33"/>
      <c r="C19" s="32" t="s">
        <v>21</v>
      </c>
      <c r="D19" s="32"/>
      <c r="E19" s="32" t="s">
        <v>22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2:15" ht="19.899999999999999" customHeight="1" x14ac:dyDescent="0.45">
      <c r="B20" s="33">
        <v>3</v>
      </c>
      <c r="C20" s="32" t="s">
        <v>23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</row>
    <row r="21" spans="2:15" ht="19.899999999999999" customHeight="1" x14ac:dyDescent="0.45">
      <c r="B21" s="33">
        <v>4</v>
      </c>
      <c r="C21" s="32" t="s">
        <v>24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2:15" ht="19.899999999999999" customHeight="1" x14ac:dyDescent="0.45">
      <c r="B22" s="33">
        <v>5</v>
      </c>
      <c r="C22" s="32" t="s">
        <v>25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2:15" ht="18.5" x14ac:dyDescent="0.45"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8C69-9DD0-4CE4-80A9-1F2536B107B0}">
  <dimension ref="B1:L60"/>
  <sheetViews>
    <sheetView showGridLines="0" zoomScale="130" zoomScaleNormal="130" workbookViewId="0">
      <pane ySplit="2" topLeftCell="A3" activePane="bottomLeft" state="frozen"/>
      <selection pane="bottomLeft" activeCell="I7" sqref="I7"/>
    </sheetView>
  </sheetViews>
  <sheetFormatPr defaultColWidth="8.81640625" defaultRowHeight="14.5" x14ac:dyDescent="0.35"/>
  <cols>
    <col min="1" max="1" width="1.453125" customWidth="1"/>
    <col min="2" max="4" width="9.54296875" customWidth="1"/>
    <col min="5" max="5" width="13.81640625" customWidth="1"/>
    <col min="6" max="6" width="18" customWidth="1"/>
    <col min="7" max="7" width="24.54296875" bestFit="1" customWidth="1"/>
    <col min="8" max="9" width="9.54296875" customWidth="1"/>
    <col min="12" max="12" width="14.453125" customWidth="1"/>
  </cols>
  <sheetData>
    <row r="1" spans="2:12" ht="23.5" x14ac:dyDescent="0.55000000000000004">
      <c r="B1" s="61" t="s">
        <v>26</v>
      </c>
      <c r="C1" s="61"/>
      <c r="D1" s="61"/>
      <c r="E1" s="61"/>
      <c r="F1" s="61"/>
      <c r="G1" s="61"/>
      <c r="H1" s="61"/>
      <c r="I1" s="61"/>
    </row>
    <row r="2" spans="2:12" s="2" customFormat="1" ht="29" x14ac:dyDescent="0.35"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3" t="s">
        <v>32</v>
      </c>
      <c r="H2" s="3" t="s">
        <v>33</v>
      </c>
      <c r="I2" s="3" t="s">
        <v>34</v>
      </c>
      <c r="K2" s="26"/>
      <c r="L2" s="2" t="s">
        <v>35</v>
      </c>
    </row>
    <row r="3" spans="2:12" x14ac:dyDescent="0.35">
      <c r="B3" s="36">
        <v>112</v>
      </c>
      <c r="C3" s="37">
        <v>1748</v>
      </c>
      <c r="D3" s="38">
        <f>C3*Data!$B$4</f>
        <v>209.76</v>
      </c>
      <c r="E3" s="39">
        <v>38</v>
      </c>
      <c r="F3" s="40">
        <f>(C3+D3)/(E3/Data!$B$3)</f>
        <v>1957.76</v>
      </c>
      <c r="G3" s="41" t="s">
        <v>36</v>
      </c>
      <c r="H3" s="42" t="s">
        <v>37</v>
      </c>
      <c r="I3" s="41" t="s">
        <v>38</v>
      </c>
    </row>
    <row r="4" spans="2:12" x14ac:dyDescent="0.35">
      <c r="B4" s="36">
        <v>141</v>
      </c>
      <c r="C4" s="37">
        <v>1140</v>
      </c>
      <c r="D4" s="38">
        <f>C4*Data!$B$4</f>
        <v>136.79999999999998</v>
      </c>
      <c r="E4" s="39">
        <v>38</v>
      </c>
      <c r="F4" s="40">
        <f>(C4+D4)/(E4/Data!$B$3)</f>
        <v>1276.8</v>
      </c>
      <c r="G4" s="41" t="s">
        <v>39</v>
      </c>
      <c r="H4" s="42" t="s">
        <v>40</v>
      </c>
      <c r="I4" s="41" t="s">
        <v>38</v>
      </c>
    </row>
    <row r="5" spans="2:12" x14ac:dyDescent="0.35">
      <c r="B5" s="36">
        <v>123</v>
      </c>
      <c r="C5" s="37">
        <v>1200</v>
      </c>
      <c r="D5" s="38">
        <f>C5*Data!$B$4</f>
        <v>144</v>
      </c>
      <c r="E5" s="39">
        <v>38</v>
      </c>
      <c r="F5" s="40">
        <f>(C5+D5)/(E5/Data!$B$3)</f>
        <v>1344</v>
      </c>
      <c r="G5" s="41" t="s">
        <v>41</v>
      </c>
      <c r="H5" s="42" t="s">
        <v>37</v>
      </c>
      <c r="I5" s="41" t="s">
        <v>42</v>
      </c>
    </row>
    <row r="6" spans="2:12" x14ac:dyDescent="0.35">
      <c r="B6" s="36">
        <v>124</v>
      </c>
      <c r="C6" s="37">
        <v>1000</v>
      </c>
      <c r="D6" s="38">
        <f>C6*Data!$B$4</f>
        <v>120</v>
      </c>
      <c r="E6" s="39">
        <v>38</v>
      </c>
      <c r="F6" s="40">
        <f>(C6+D6)/(E6/Data!$B$3)</f>
        <v>1120</v>
      </c>
      <c r="G6" s="41" t="s">
        <v>41</v>
      </c>
      <c r="H6" s="42" t="s">
        <v>37</v>
      </c>
      <c r="I6" s="41" t="s">
        <v>38</v>
      </c>
    </row>
    <row r="7" spans="2:12" x14ac:dyDescent="0.35">
      <c r="B7" s="36">
        <v>125</v>
      </c>
      <c r="C7" s="37">
        <v>1300</v>
      </c>
      <c r="D7" s="38">
        <f>C7*Data!$B$4</f>
        <v>156</v>
      </c>
      <c r="E7" s="39">
        <v>38</v>
      </c>
      <c r="F7" s="40">
        <f>(C7+D7)/(E7/Data!$B$3)</f>
        <v>1456</v>
      </c>
      <c r="G7" s="41" t="s">
        <v>41</v>
      </c>
      <c r="H7" s="42" t="s">
        <v>37</v>
      </c>
      <c r="I7" s="41" t="s">
        <v>38</v>
      </c>
    </row>
    <row r="8" spans="2:12" x14ac:dyDescent="0.35">
      <c r="B8" s="36"/>
      <c r="C8" s="37"/>
      <c r="D8" s="38">
        <f>C8*Data!$B$4</f>
        <v>0</v>
      </c>
      <c r="E8" s="39"/>
      <c r="F8" s="40" t="e">
        <f>(C8+D8)/(E8/Data!$B$3)</f>
        <v>#DIV/0!</v>
      </c>
      <c r="G8" s="41"/>
      <c r="H8" s="42"/>
      <c r="I8" s="41"/>
    </row>
    <row r="9" spans="2:12" x14ac:dyDescent="0.35">
      <c r="B9" s="36"/>
      <c r="C9" s="37"/>
      <c r="D9" s="38">
        <f>C9*Data!$B$4</f>
        <v>0</v>
      </c>
      <c r="E9" s="39"/>
      <c r="F9" s="40" t="e">
        <f>(C9+D9)/(E9/Data!$B$3)</f>
        <v>#DIV/0!</v>
      </c>
      <c r="G9" s="41"/>
      <c r="H9" s="42"/>
      <c r="I9" s="41"/>
    </row>
    <row r="10" spans="2:12" x14ac:dyDescent="0.35">
      <c r="B10" s="36"/>
      <c r="C10" s="37"/>
      <c r="D10" s="38">
        <f>C10*Data!$B$4</f>
        <v>0</v>
      </c>
      <c r="E10" s="39"/>
      <c r="F10" s="40" t="e">
        <f>(C10+D10)/(E10/Data!$B$3)</f>
        <v>#DIV/0!</v>
      </c>
      <c r="G10" s="41"/>
      <c r="H10" s="42"/>
      <c r="I10" s="41"/>
    </row>
    <row r="11" spans="2:12" x14ac:dyDescent="0.35">
      <c r="B11" s="36"/>
      <c r="C11" s="37"/>
      <c r="D11" s="38">
        <f>C11*Data!$B$4</f>
        <v>0</v>
      </c>
      <c r="E11" s="39"/>
      <c r="F11" s="40" t="e">
        <f>(C11+D11)/(E11/Data!$B$3)</f>
        <v>#DIV/0!</v>
      </c>
      <c r="G11" s="41"/>
      <c r="H11" s="42"/>
      <c r="I11" s="41"/>
    </row>
    <row r="12" spans="2:12" x14ac:dyDescent="0.35">
      <c r="B12" s="36"/>
      <c r="C12" s="37"/>
      <c r="D12" s="38">
        <f>C12*Data!$B$4</f>
        <v>0</v>
      </c>
      <c r="E12" s="39"/>
      <c r="F12" s="40" t="e">
        <f>(C12+D12)/(E12/Data!$B$3)</f>
        <v>#DIV/0!</v>
      </c>
      <c r="G12" s="41"/>
      <c r="H12" s="42"/>
      <c r="I12" s="41"/>
    </row>
    <row r="13" spans="2:12" ht="15" customHeight="1" x14ac:dyDescent="0.35">
      <c r="B13" s="36"/>
      <c r="C13" s="37"/>
      <c r="D13" s="38">
        <f>C13*Data!$B$4</f>
        <v>0</v>
      </c>
      <c r="E13" s="39"/>
      <c r="F13" s="40" t="e">
        <f>(C13+D13)/(E13/Data!$B$3)</f>
        <v>#DIV/0!</v>
      </c>
      <c r="G13" s="41"/>
      <c r="H13" s="42"/>
      <c r="I13" s="41"/>
    </row>
    <row r="14" spans="2:12" ht="15" customHeight="1" x14ac:dyDescent="0.35">
      <c r="B14" s="36"/>
      <c r="C14" s="37"/>
      <c r="D14" s="38">
        <f>C14*Data!$B$4</f>
        <v>0</v>
      </c>
      <c r="E14" s="39"/>
      <c r="F14" s="40" t="e">
        <f>(C14+D14)/(E14/Data!$B$3)</f>
        <v>#DIV/0!</v>
      </c>
      <c r="G14" s="41"/>
      <c r="H14" s="42"/>
      <c r="I14" s="41"/>
    </row>
    <row r="15" spans="2:12" x14ac:dyDescent="0.35">
      <c r="B15" s="36"/>
      <c r="C15" s="37"/>
      <c r="D15" s="38">
        <f>C15*Data!$B$4</f>
        <v>0</v>
      </c>
      <c r="E15" s="39"/>
      <c r="F15" s="40" t="e">
        <f>(C15+D15)/(E15/Data!$B$3)</f>
        <v>#DIV/0!</v>
      </c>
      <c r="G15" s="41"/>
      <c r="H15" s="42"/>
      <c r="I15" s="41"/>
    </row>
    <row r="16" spans="2:12" x14ac:dyDescent="0.35">
      <c r="B16" s="36"/>
      <c r="C16" s="37"/>
      <c r="D16" s="38">
        <f>C16*Data!$B$4</f>
        <v>0</v>
      </c>
      <c r="E16" s="39"/>
      <c r="F16" s="40" t="e">
        <f>(C16+D16)/(E16/Data!$B$3)</f>
        <v>#DIV/0!</v>
      </c>
      <c r="G16" s="41"/>
      <c r="H16" s="42"/>
      <c r="I16" s="41"/>
    </row>
    <row r="17" spans="2:9" x14ac:dyDescent="0.35">
      <c r="B17" s="36"/>
      <c r="C17" s="37"/>
      <c r="D17" s="38">
        <f>C17*Data!$B$4</f>
        <v>0</v>
      </c>
      <c r="E17" s="39"/>
      <c r="F17" s="40" t="e">
        <f>(C17+D17)/(E17/Data!$B$3)</f>
        <v>#DIV/0!</v>
      </c>
      <c r="G17" s="41"/>
      <c r="H17" s="42"/>
      <c r="I17" s="41"/>
    </row>
    <row r="18" spans="2:9" x14ac:dyDescent="0.35">
      <c r="B18" s="36"/>
      <c r="C18" s="37"/>
      <c r="D18" s="38">
        <f>C18*Data!$B$4</f>
        <v>0</v>
      </c>
      <c r="E18" s="39"/>
      <c r="F18" s="40" t="e">
        <f>(C18+D18)/(E18/Data!$B$3)</f>
        <v>#DIV/0!</v>
      </c>
      <c r="G18" s="41"/>
      <c r="H18" s="42"/>
      <c r="I18" s="41"/>
    </row>
    <row r="19" spans="2:9" x14ac:dyDescent="0.35">
      <c r="B19" s="36"/>
      <c r="C19" s="37"/>
      <c r="D19" s="38">
        <f>C19*Data!$B$4</f>
        <v>0</v>
      </c>
      <c r="E19" s="39"/>
      <c r="F19" s="40" t="e">
        <f>(C19+D19)/(E19/Data!$B$3)</f>
        <v>#DIV/0!</v>
      </c>
      <c r="G19" s="41"/>
      <c r="H19" s="42"/>
      <c r="I19" s="41"/>
    </row>
    <row r="20" spans="2:9" x14ac:dyDescent="0.35">
      <c r="B20" s="36"/>
      <c r="C20" s="37"/>
      <c r="D20" s="38">
        <f>C20*Data!$B$4</f>
        <v>0</v>
      </c>
      <c r="E20" s="39"/>
      <c r="F20" s="40" t="e">
        <f>(C20+D20)/(E20/Data!$B$3)</f>
        <v>#DIV/0!</v>
      </c>
      <c r="G20" s="41"/>
      <c r="H20" s="42"/>
      <c r="I20" s="41"/>
    </row>
    <row r="21" spans="2:9" x14ac:dyDescent="0.35">
      <c r="B21" s="36"/>
      <c r="C21" s="37"/>
      <c r="D21" s="38">
        <f>C21*Data!$B$4</f>
        <v>0</v>
      </c>
      <c r="E21" s="39"/>
      <c r="F21" s="40" t="e">
        <f>(C21+D21)/(E21/Data!$B$3)</f>
        <v>#DIV/0!</v>
      </c>
      <c r="G21" s="41"/>
      <c r="H21" s="42"/>
      <c r="I21" s="41"/>
    </row>
    <row r="22" spans="2:9" x14ac:dyDescent="0.35">
      <c r="B22" s="43"/>
      <c r="C22" s="44"/>
      <c r="D22" s="38">
        <f>C22*Data!$B$4</f>
        <v>0</v>
      </c>
      <c r="E22" s="39"/>
      <c r="F22" s="40" t="e">
        <f>(C22+D22)/(E22/Data!$B$3)</f>
        <v>#DIV/0!</v>
      </c>
      <c r="G22" s="45"/>
      <c r="H22" s="46"/>
      <c r="I22" s="41"/>
    </row>
    <row r="23" spans="2:9" x14ac:dyDescent="0.35">
      <c r="B23" s="47"/>
      <c r="C23" s="44"/>
      <c r="D23" s="38">
        <f>C23*Data!$B$4</f>
        <v>0</v>
      </c>
      <c r="E23" s="39"/>
      <c r="F23" s="40" t="e">
        <f>(C23+D23)/(E23/Data!$B$3)</f>
        <v>#DIV/0!</v>
      </c>
      <c r="G23" s="45"/>
      <c r="H23" s="46"/>
      <c r="I23" s="41"/>
    </row>
    <row r="24" spans="2:9" x14ac:dyDescent="0.35">
      <c r="B24" s="47"/>
      <c r="C24" s="37"/>
      <c r="D24" s="38">
        <f>C24*Data!$B$4</f>
        <v>0</v>
      </c>
      <c r="E24" s="39"/>
      <c r="F24" s="40" t="e">
        <f>(C24+D24)/(E24/Data!$B$3)</f>
        <v>#DIV/0!</v>
      </c>
      <c r="G24" s="41"/>
      <c r="H24" s="42"/>
      <c r="I24" s="41"/>
    </row>
    <row r="25" spans="2:9" x14ac:dyDescent="0.35">
      <c r="B25" s="47"/>
      <c r="C25" s="37"/>
      <c r="D25" s="38">
        <f>C25*Data!$B$4</f>
        <v>0</v>
      </c>
      <c r="E25" s="39"/>
      <c r="F25" s="40" t="e">
        <f>(C25+D25)/(E25/Data!$B$3)</f>
        <v>#DIV/0!</v>
      </c>
      <c r="G25" s="41"/>
      <c r="H25" s="42"/>
      <c r="I25" s="41"/>
    </row>
    <row r="26" spans="2:9" x14ac:dyDescent="0.35">
      <c r="B26" s="47"/>
      <c r="C26" s="37"/>
      <c r="D26" s="38">
        <f>C26*Data!$B$4</f>
        <v>0</v>
      </c>
      <c r="E26" s="39"/>
      <c r="F26" s="40" t="e">
        <f>(C26+D26)/(E26/Data!$B$3)</f>
        <v>#DIV/0!</v>
      </c>
      <c r="G26" s="41"/>
      <c r="H26" s="42"/>
      <c r="I26" s="41"/>
    </row>
    <row r="27" spans="2:9" x14ac:dyDescent="0.35">
      <c r="B27" s="47"/>
      <c r="C27" s="37"/>
      <c r="D27" s="38">
        <f>C27*Data!$B$4</f>
        <v>0</v>
      </c>
      <c r="E27" s="39"/>
      <c r="F27" s="40" t="e">
        <f>(C27+D27)/(E27/Data!$B$3)</f>
        <v>#DIV/0!</v>
      </c>
      <c r="G27" s="41"/>
      <c r="H27" s="42"/>
      <c r="I27" s="41"/>
    </row>
    <row r="28" spans="2:9" x14ac:dyDescent="0.35">
      <c r="B28" s="47"/>
      <c r="C28" s="37"/>
      <c r="D28" s="38">
        <f>C28*Data!$B$4</f>
        <v>0</v>
      </c>
      <c r="E28" s="39"/>
      <c r="F28" s="40" t="e">
        <f>(C28+D28)/(E28/Data!$B$3)</f>
        <v>#DIV/0!</v>
      </c>
      <c r="G28" s="41"/>
      <c r="H28" s="42"/>
      <c r="I28" s="41"/>
    </row>
    <row r="29" spans="2:9" x14ac:dyDescent="0.35">
      <c r="B29" s="47"/>
      <c r="C29" s="37"/>
      <c r="D29" s="38">
        <f>C29*Data!$B$4</f>
        <v>0</v>
      </c>
      <c r="E29" s="39"/>
      <c r="F29" s="40" t="e">
        <f>(C29+D29)/(E29/Data!$B$3)</f>
        <v>#DIV/0!</v>
      </c>
      <c r="G29" s="41"/>
      <c r="H29" s="42"/>
      <c r="I29" s="41"/>
    </row>
    <row r="30" spans="2:9" x14ac:dyDescent="0.35">
      <c r="B30" s="47"/>
      <c r="C30" s="37"/>
      <c r="D30" s="38">
        <f>C30*Data!$B$4</f>
        <v>0</v>
      </c>
      <c r="E30" s="39"/>
      <c r="F30" s="40" t="e">
        <f>(C30+D30)/(E30/Data!$B$3)</f>
        <v>#DIV/0!</v>
      </c>
      <c r="G30" s="41"/>
      <c r="H30" s="42"/>
      <c r="I30" s="41"/>
    </row>
    <row r="31" spans="2:9" x14ac:dyDescent="0.35">
      <c r="B31" s="47"/>
      <c r="C31" s="37"/>
      <c r="D31" s="38">
        <f>C31*Data!$B$4</f>
        <v>0</v>
      </c>
      <c r="E31" s="39"/>
      <c r="F31" s="40" t="e">
        <f>(C31+D31)/(E31/Data!$B$3)</f>
        <v>#DIV/0!</v>
      </c>
      <c r="G31" s="41"/>
      <c r="H31" s="42"/>
      <c r="I31" s="41"/>
    </row>
    <row r="32" spans="2:9" x14ac:dyDescent="0.35">
      <c r="B32" s="47"/>
      <c r="C32" s="37"/>
      <c r="D32" s="38">
        <f>C32*Data!$B$4</f>
        <v>0</v>
      </c>
      <c r="E32" s="39"/>
      <c r="F32" s="40" t="e">
        <f>(C32+D32)/(E32/Data!$B$3)</f>
        <v>#DIV/0!</v>
      </c>
      <c r="G32" s="41"/>
      <c r="H32" s="42"/>
      <c r="I32" s="41"/>
    </row>
    <row r="33" spans="2:9" x14ac:dyDescent="0.35">
      <c r="B33" s="47"/>
      <c r="C33" s="37"/>
      <c r="D33" s="38">
        <f>C33*Data!$B$4</f>
        <v>0</v>
      </c>
      <c r="E33" s="39"/>
      <c r="F33" s="40" t="e">
        <f>(C33+D33)/(E33/Data!$B$3)</f>
        <v>#DIV/0!</v>
      </c>
      <c r="G33" s="41"/>
      <c r="H33" s="42"/>
      <c r="I33" s="41"/>
    </row>
    <row r="34" spans="2:9" x14ac:dyDescent="0.35">
      <c r="B34" s="47"/>
      <c r="C34" s="37"/>
      <c r="D34" s="38">
        <f>C34*Data!$B$4</f>
        <v>0</v>
      </c>
      <c r="E34" s="39"/>
      <c r="F34" s="40" t="e">
        <f>(C34+D34)/(E34/Data!$B$3)</f>
        <v>#DIV/0!</v>
      </c>
      <c r="G34" s="41"/>
      <c r="H34" s="42"/>
      <c r="I34" s="41"/>
    </row>
    <row r="35" spans="2:9" x14ac:dyDescent="0.35">
      <c r="B35" s="47"/>
      <c r="C35" s="37"/>
      <c r="D35" s="38">
        <f>C35*Data!$B$4</f>
        <v>0</v>
      </c>
      <c r="E35" s="39"/>
      <c r="F35" s="40" t="e">
        <f>(C35+D35)/(E35/Data!$B$3)</f>
        <v>#DIV/0!</v>
      </c>
      <c r="G35" s="41"/>
      <c r="H35" s="42"/>
      <c r="I35" s="41"/>
    </row>
    <row r="36" spans="2:9" x14ac:dyDescent="0.35">
      <c r="B36" s="47"/>
      <c r="C36" s="37"/>
      <c r="D36" s="38">
        <f>C36*Data!$B$4</f>
        <v>0</v>
      </c>
      <c r="E36" s="39"/>
      <c r="F36" s="40" t="e">
        <f>(C36+D36)/(E36/Data!$B$3)</f>
        <v>#DIV/0!</v>
      </c>
      <c r="G36" s="41"/>
      <c r="H36" s="42"/>
      <c r="I36" s="41"/>
    </row>
    <row r="37" spans="2:9" x14ac:dyDescent="0.35">
      <c r="B37" s="47"/>
      <c r="C37" s="37"/>
      <c r="D37" s="38">
        <f>C37*Data!$B$4</f>
        <v>0</v>
      </c>
      <c r="E37" s="39"/>
      <c r="F37" s="40" t="e">
        <f>(C37+D37)/(E37/Data!$B$3)</f>
        <v>#DIV/0!</v>
      </c>
      <c r="G37" s="41"/>
      <c r="H37" s="42"/>
      <c r="I37" s="41"/>
    </row>
    <row r="38" spans="2:9" x14ac:dyDescent="0.35">
      <c r="B38" s="47"/>
      <c r="C38" s="37"/>
      <c r="D38" s="38">
        <f>C38*Data!$B$4</f>
        <v>0</v>
      </c>
      <c r="E38" s="39"/>
      <c r="F38" s="40" t="e">
        <f>(C38+D38)/(E38/Data!$B$3)</f>
        <v>#DIV/0!</v>
      </c>
      <c r="G38" s="41"/>
      <c r="H38" s="42"/>
      <c r="I38" s="41"/>
    </row>
    <row r="39" spans="2:9" x14ac:dyDescent="0.35">
      <c r="B39" s="47"/>
      <c r="C39" s="37"/>
      <c r="D39" s="38">
        <f>C39*Data!$B$4</f>
        <v>0</v>
      </c>
      <c r="E39" s="39"/>
      <c r="F39" s="40" t="e">
        <f>(C39+D39)/(E39/Data!$B$3)</f>
        <v>#DIV/0!</v>
      </c>
      <c r="G39" s="41"/>
      <c r="H39" s="42"/>
      <c r="I39" s="41"/>
    </row>
    <row r="40" spans="2:9" x14ac:dyDescent="0.35">
      <c r="B40" s="47"/>
      <c r="C40" s="37"/>
      <c r="D40" s="38">
        <f>C40*Data!$B$4</f>
        <v>0</v>
      </c>
      <c r="E40" s="39"/>
      <c r="F40" s="40" t="e">
        <f>(C40+D40)/(E40/Data!$B$3)</f>
        <v>#DIV/0!</v>
      </c>
      <c r="G40" s="41"/>
      <c r="H40" s="42"/>
      <c r="I40" s="41"/>
    </row>
    <row r="41" spans="2:9" x14ac:dyDescent="0.35">
      <c r="B41" s="47"/>
      <c r="C41" s="37"/>
      <c r="D41" s="38">
        <f>C41*Data!$B$4</f>
        <v>0</v>
      </c>
      <c r="E41" s="39"/>
      <c r="F41" s="40" t="e">
        <f>(C41+D41)/(E41/Data!$B$3)</f>
        <v>#DIV/0!</v>
      </c>
      <c r="G41" s="41"/>
      <c r="H41" s="42"/>
      <c r="I41" s="41"/>
    </row>
    <row r="42" spans="2:9" x14ac:dyDescent="0.35">
      <c r="B42" s="47"/>
      <c r="C42" s="37"/>
      <c r="D42" s="38">
        <f>C42*Data!$B$4</f>
        <v>0</v>
      </c>
      <c r="E42" s="39"/>
      <c r="F42" s="40" t="e">
        <f>(C42+D42)/(E42/Data!$B$3)</f>
        <v>#DIV/0!</v>
      </c>
      <c r="G42" s="41"/>
      <c r="H42" s="42"/>
      <c r="I42" s="41"/>
    </row>
    <row r="43" spans="2:9" x14ac:dyDescent="0.35">
      <c r="B43" s="47"/>
      <c r="C43" s="37"/>
      <c r="D43" s="38">
        <f>C43*Data!$B$4</f>
        <v>0</v>
      </c>
      <c r="E43" s="39"/>
      <c r="F43" s="40" t="e">
        <f>(C43+D43)/(E43/Data!$B$3)</f>
        <v>#DIV/0!</v>
      </c>
      <c r="G43" s="41"/>
      <c r="H43" s="42"/>
      <c r="I43" s="41"/>
    </row>
    <row r="44" spans="2:9" x14ac:dyDescent="0.35">
      <c r="B44" s="47"/>
      <c r="C44" s="37"/>
      <c r="D44" s="38">
        <f>C44*Data!$B$4</f>
        <v>0</v>
      </c>
      <c r="E44" s="39"/>
      <c r="F44" s="40" t="e">
        <f>(C44+D44)/(E44/Data!$B$3)</f>
        <v>#DIV/0!</v>
      </c>
      <c r="G44" s="41"/>
      <c r="H44" s="42"/>
      <c r="I44" s="41"/>
    </row>
    <row r="45" spans="2:9" x14ac:dyDescent="0.35">
      <c r="B45" s="47"/>
      <c r="C45" s="37"/>
      <c r="D45" s="38">
        <f>C45*Data!$B$4</f>
        <v>0</v>
      </c>
      <c r="E45" s="39"/>
      <c r="F45" s="40" t="e">
        <f>(C45+D45)/(E45/Data!$B$3)</f>
        <v>#DIV/0!</v>
      </c>
      <c r="G45" s="41"/>
      <c r="H45" s="42"/>
      <c r="I45" s="41"/>
    </row>
    <row r="46" spans="2:9" x14ac:dyDescent="0.35">
      <c r="B46" s="47"/>
      <c r="C46" s="37"/>
      <c r="D46" s="38">
        <f>C46*Data!$B$4</f>
        <v>0</v>
      </c>
      <c r="E46" s="39"/>
      <c r="F46" s="40" t="e">
        <f>(C46+D46)/(E46/Data!$B$3)</f>
        <v>#DIV/0!</v>
      </c>
      <c r="G46" s="41"/>
      <c r="H46" s="42"/>
      <c r="I46" s="41"/>
    </row>
    <row r="47" spans="2:9" x14ac:dyDescent="0.35">
      <c r="B47" s="47"/>
      <c r="C47" s="37"/>
      <c r="D47" s="38">
        <f>C47*Data!$B$4</f>
        <v>0</v>
      </c>
      <c r="E47" s="39"/>
      <c r="F47" s="40" t="e">
        <f>(C47+D47)/(E47/Data!$B$3)</f>
        <v>#DIV/0!</v>
      </c>
      <c r="G47" s="41"/>
      <c r="H47" s="42"/>
      <c r="I47" s="41"/>
    </row>
    <row r="48" spans="2:9" x14ac:dyDescent="0.35">
      <c r="B48" s="47"/>
      <c r="C48" s="37"/>
      <c r="D48" s="38">
        <f>C48*Data!$B$4</f>
        <v>0</v>
      </c>
      <c r="E48" s="39"/>
      <c r="F48" s="40" t="e">
        <f>(C48+D48)/(E48/Data!$B$3)</f>
        <v>#DIV/0!</v>
      </c>
      <c r="G48" s="41"/>
      <c r="H48" s="42"/>
      <c r="I48" s="41"/>
    </row>
    <row r="49" spans="2:9" x14ac:dyDescent="0.35">
      <c r="B49" s="47"/>
      <c r="C49" s="37"/>
      <c r="D49" s="38">
        <f>C49*Data!$B$4</f>
        <v>0</v>
      </c>
      <c r="E49" s="39"/>
      <c r="F49" s="40" t="e">
        <f>(C49+D49)/(E49/Data!$B$3)</f>
        <v>#DIV/0!</v>
      </c>
      <c r="G49" s="41"/>
      <c r="H49" s="42"/>
      <c r="I49" s="41"/>
    </row>
    <row r="50" spans="2:9" x14ac:dyDescent="0.35">
      <c r="B50" s="47"/>
      <c r="C50" s="37"/>
      <c r="D50" s="38">
        <f>C50*Data!$B$4</f>
        <v>0</v>
      </c>
      <c r="E50" s="39"/>
      <c r="F50" s="40" t="e">
        <f>(C50+D50)/(E50/Data!$B$3)</f>
        <v>#DIV/0!</v>
      </c>
      <c r="G50" s="41"/>
      <c r="H50" s="42"/>
      <c r="I50" s="41"/>
    </row>
    <row r="51" spans="2:9" x14ac:dyDescent="0.35">
      <c r="B51" s="35"/>
      <c r="C51" s="35"/>
      <c r="D51" s="35"/>
      <c r="E51" s="35"/>
      <c r="F51" s="35"/>
      <c r="G51" s="35"/>
      <c r="H51" s="35"/>
      <c r="I51" s="35"/>
    </row>
    <row r="52" spans="2:9" x14ac:dyDescent="0.35">
      <c r="B52" s="35"/>
      <c r="C52" s="35"/>
      <c r="D52" s="35"/>
      <c r="E52" s="35"/>
      <c r="F52" s="35"/>
      <c r="G52" s="35"/>
      <c r="H52" s="35"/>
      <c r="I52" s="35"/>
    </row>
    <row r="53" spans="2:9" x14ac:dyDescent="0.35">
      <c r="B53" s="35"/>
      <c r="C53" s="35"/>
      <c r="D53" s="35"/>
      <c r="E53" s="35"/>
      <c r="F53" s="35"/>
      <c r="G53" s="35"/>
      <c r="H53" s="35"/>
      <c r="I53" s="35"/>
    </row>
    <row r="54" spans="2:9" x14ac:dyDescent="0.35">
      <c r="B54" s="35"/>
      <c r="C54" s="35"/>
      <c r="D54" s="35"/>
      <c r="E54" s="35"/>
      <c r="F54" s="35"/>
      <c r="G54" s="35"/>
      <c r="H54" s="35"/>
      <c r="I54" s="35"/>
    </row>
    <row r="55" spans="2:9" x14ac:dyDescent="0.35">
      <c r="B55" s="35"/>
      <c r="C55" s="35"/>
      <c r="D55" s="35"/>
      <c r="E55" s="35"/>
      <c r="F55" s="35"/>
      <c r="G55" s="35"/>
      <c r="H55" s="35"/>
      <c r="I55" s="35"/>
    </row>
    <row r="56" spans="2:9" x14ac:dyDescent="0.35">
      <c r="B56" s="35"/>
      <c r="C56" s="35"/>
      <c r="D56" s="35"/>
      <c r="E56" s="35"/>
      <c r="F56" s="35"/>
      <c r="G56" s="35"/>
      <c r="H56" s="35"/>
      <c r="I56" s="35"/>
    </row>
    <row r="57" spans="2:9" x14ac:dyDescent="0.35">
      <c r="B57" s="35"/>
      <c r="C57" s="35"/>
      <c r="D57" s="35"/>
      <c r="E57" s="35"/>
      <c r="F57" s="35"/>
      <c r="G57" s="35"/>
      <c r="H57" s="35"/>
      <c r="I57" s="35"/>
    </row>
    <row r="58" spans="2:9" x14ac:dyDescent="0.35">
      <c r="B58" s="35"/>
      <c r="C58" s="35"/>
      <c r="D58" s="35"/>
      <c r="E58" s="35"/>
      <c r="F58" s="35"/>
      <c r="G58" s="35"/>
      <c r="H58" s="35"/>
      <c r="I58" s="35"/>
    </row>
    <row r="59" spans="2:9" x14ac:dyDescent="0.35">
      <c r="B59" s="35"/>
      <c r="C59" s="35"/>
      <c r="D59" s="35"/>
      <c r="E59" s="35"/>
      <c r="F59" s="35"/>
      <c r="G59" s="35"/>
      <c r="H59" s="35"/>
      <c r="I59" s="35"/>
    </row>
    <row r="60" spans="2:9" x14ac:dyDescent="0.35">
      <c r="B60" s="35"/>
      <c r="C60" s="35"/>
      <c r="D60" s="35"/>
      <c r="E60" s="35"/>
      <c r="F60" s="35"/>
      <c r="G60" s="35"/>
      <c r="H60" s="35"/>
      <c r="I60" s="35"/>
    </row>
  </sheetData>
  <sheetProtection selectLockedCells="1"/>
  <dataConsolidate function="varp"/>
  <mergeCells count="1">
    <mergeCell ref="B1:I1"/>
  </mergeCells>
  <pageMargins left="0.7" right="0.7" top="0.75" bottom="0.75" header="0.3" footer="0.3"/>
  <pageSetup paperSize="9" orientation="portrait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F77F9B6-6B60-4E24-81C2-5492242D1DCA}">
          <x14:formula1>
            <xm:f>Data!$A$21:$A$22</xm:f>
          </x14:formula1>
          <xm:sqref>H3:H50</xm:sqref>
        </x14:dataValidation>
        <x14:dataValidation type="list" allowBlank="1" showInputMessage="1" showErrorMessage="1" xr:uid="{D47F7858-332F-4A71-B2DC-3F8E7B0C0999}">
          <x14:formula1>
            <xm:f>Data!$A$27:$A$34</xm:f>
          </x14:formula1>
          <xm:sqref>I3:I50</xm:sqref>
        </x14:dataValidation>
        <x14:dataValidation type="list" allowBlank="1" showInputMessage="1" showErrorMessage="1" xr:uid="{7EF53805-A5A7-4BD6-89A3-2C0533347D04}">
          <x14:formula1>
            <xm:f>Data!$A$8:$A$16</xm:f>
          </x14:formula1>
          <xm:sqref>G3:G50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D5F4-0465-49C9-95CE-9B022BBC26BC}">
  <dimension ref="B1:L50"/>
  <sheetViews>
    <sheetView showGridLines="0" zoomScale="130" zoomScaleNormal="130" workbookViewId="0">
      <pane ySplit="2" topLeftCell="A3" activePane="bottomLeft" state="frozen"/>
      <selection pane="bottomLeft" activeCell="G2" sqref="G1:G1048576"/>
    </sheetView>
  </sheetViews>
  <sheetFormatPr defaultColWidth="8.81640625" defaultRowHeight="14.5" x14ac:dyDescent="0.35"/>
  <cols>
    <col min="1" max="1" width="1.81640625" customWidth="1"/>
    <col min="2" max="4" width="9.54296875" customWidth="1"/>
    <col min="5" max="5" width="13.453125" customWidth="1"/>
    <col min="6" max="6" width="12.453125" bestFit="1" customWidth="1"/>
    <col min="7" max="7" width="12.54296875" customWidth="1"/>
    <col min="8" max="9" width="9.54296875" customWidth="1"/>
    <col min="12" max="12" width="15.1796875" customWidth="1"/>
  </cols>
  <sheetData>
    <row r="1" spans="2:12" ht="23.5" x14ac:dyDescent="0.55000000000000004">
      <c r="B1" s="61" t="s">
        <v>43</v>
      </c>
      <c r="C1" s="61"/>
      <c r="D1" s="61"/>
      <c r="E1" s="61"/>
      <c r="F1" s="61"/>
      <c r="G1" s="61"/>
      <c r="H1" s="61"/>
      <c r="I1" s="61"/>
    </row>
    <row r="2" spans="2:12" ht="29" x14ac:dyDescent="0.35"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3" t="s">
        <v>32</v>
      </c>
      <c r="H2" s="3" t="s">
        <v>33</v>
      </c>
      <c r="I2" s="3" t="s">
        <v>34</v>
      </c>
      <c r="K2" s="26"/>
      <c r="L2" s="2" t="s">
        <v>35</v>
      </c>
    </row>
    <row r="3" spans="2:12" x14ac:dyDescent="0.35">
      <c r="B3" s="36">
        <v>413</v>
      </c>
      <c r="C3" s="41">
        <v>1786</v>
      </c>
      <c r="D3" s="48">
        <f>C3*Data!$B$4</f>
        <v>214.32</v>
      </c>
      <c r="E3" s="49">
        <v>38</v>
      </c>
      <c r="F3" s="50">
        <f>(C3+D3)/(E3/Data!$B$3)</f>
        <v>2000.32</v>
      </c>
      <c r="G3" s="41" t="s">
        <v>44</v>
      </c>
      <c r="H3" s="42" t="s">
        <v>37</v>
      </c>
      <c r="I3" s="41" t="s">
        <v>38</v>
      </c>
    </row>
    <row r="4" spans="2:12" x14ac:dyDescent="0.35">
      <c r="B4" s="36">
        <v>123</v>
      </c>
      <c r="C4" s="41">
        <v>1200</v>
      </c>
      <c r="D4" s="48">
        <f>C4*Data!$B$4</f>
        <v>144</v>
      </c>
      <c r="E4" s="49">
        <v>38</v>
      </c>
      <c r="F4" s="50">
        <f>(C4+D4)/(E4/Data!$B$3)</f>
        <v>1344</v>
      </c>
      <c r="G4" s="41" t="s">
        <v>45</v>
      </c>
      <c r="H4" s="42" t="s">
        <v>37</v>
      </c>
      <c r="I4" s="41" t="s">
        <v>42</v>
      </c>
    </row>
    <row r="5" spans="2:12" x14ac:dyDescent="0.35">
      <c r="B5" s="36"/>
      <c r="C5" s="41"/>
      <c r="D5" s="48">
        <f>C5*Data!$B$4</f>
        <v>0</v>
      </c>
      <c r="E5" s="49"/>
      <c r="F5" s="50" t="e">
        <f>(C5+D5)/(E5/Data!$B$3)</f>
        <v>#DIV/0!</v>
      </c>
      <c r="G5" s="41"/>
      <c r="H5" s="42"/>
      <c r="I5" s="41"/>
    </row>
    <row r="6" spans="2:12" x14ac:dyDescent="0.35">
      <c r="B6" s="36"/>
      <c r="C6" s="41"/>
      <c r="D6" s="48">
        <f>C6*Data!$B$4</f>
        <v>0</v>
      </c>
      <c r="E6" s="49"/>
      <c r="F6" s="50" t="e">
        <f>(C6+D6)/(E6/Data!$B$3)</f>
        <v>#DIV/0!</v>
      </c>
      <c r="G6" s="41"/>
      <c r="H6" s="42"/>
      <c r="I6" s="41"/>
    </row>
    <row r="7" spans="2:12" x14ac:dyDescent="0.35">
      <c r="B7" s="36"/>
      <c r="C7" s="41"/>
      <c r="D7" s="48">
        <f>C7*Data!$B$4</f>
        <v>0</v>
      </c>
      <c r="E7" s="49"/>
      <c r="F7" s="50" t="e">
        <f>(C7+D7)/(E7/Data!$B$3)</f>
        <v>#DIV/0!</v>
      </c>
      <c r="G7" s="41"/>
      <c r="H7" s="42"/>
      <c r="I7" s="41"/>
    </row>
    <row r="8" spans="2:12" x14ac:dyDescent="0.35">
      <c r="B8" s="36"/>
      <c r="C8" s="41"/>
      <c r="D8" s="48">
        <f>C8*Data!$B$4</f>
        <v>0</v>
      </c>
      <c r="E8" s="49"/>
      <c r="F8" s="50" t="e">
        <f>(C8+D8)/(E8/Data!$B$3)</f>
        <v>#DIV/0!</v>
      </c>
      <c r="G8" s="41"/>
      <c r="H8" s="42"/>
      <c r="I8" s="41"/>
    </row>
    <row r="9" spans="2:12" x14ac:dyDescent="0.35">
      <c r="B9" s="36"/>
      <c r="C9" s="41"/>
      <c r="D9" s="48">
        <f>C9*Data!$B$4</f>
        <v>0</v>
      </c>
      <c r="E9" s="49"/>
      <c r="F9" s="50" t="e">
        <f>(C9+D9)/(E9/Data!$B$3)</f>
        <v>#DIV/0!</v>
      </c>
      <c r="G9" s="41"/>
      <c r="H9" s="42"/>
      <c r="I9" s="41"/>
    </row>
    <row r="10" spans="2:12" x14ac:dyDescent="0.35">
      <c r="B10" s="36"/>
      <c r="C10" s="41"/>
      <c r="D10" s="48">
        <f>C10*Data!$B$4</f>
        <v>0</v>
      </c>
      <c r="E10" s="49"/>
      <c r="F10" s="50" t="e">
        <f>(C10+D10)/(E10/Data!$B$3)</f>
        <v>#DIV/0!</v>
      </c>
      <c r="G10" s="41"/>
      <c r="H10" s="42"/>
      <c r="I10" s="41"/>
    </row>
    <row r="11" spans="2:12" x14ac:dyDescent="0.35">
      <c r="B11" s="36"/>
      <c r="C11" s="41"/>
      <c r="D11" s="48">
        <f>C11*Data!$B$4</f>
        <v>0</v>
      </c>
      <c r="E11" s="49"/>
      <c r="F11" s="50" t="e">
        <f>(C11+D11)/(E11/Data!$B$3)</f>
        <v>#DIV/0!</v>
      </c>
      <c r="G11" s="41"/>
      <c r="H11" s="42"/>
      <c r="I11" s="41"/>
    </row>
    <row r="12" spans="2:12" x14ac:dyDescent="0.35">
      <c r="B12" s="36"/>
      <c r="C12" s="41"/>
      <c r="D12" s="48">
        <f>C12*Data!$B$4</f>
        <v>0</v>
      </c>
      <c r="E12" s="49"/>
      <c r="F12" s="50" t="e">
        <f>(C12+D12)/(E12/Data!$B$3)</f>
        <v>#DIV/0!</v>
      </c>
      <c r="G12" s="41"/>
      <c r="H12" s="42"/>
      <c r="I12" s="41"/>
    </row>
    <row r="13" spans="2:12" x14ac:dyDescent="0.35">
      <c r="B13" s="36"/>
      <c r="C13" s="41"/>
      <c r="D13" s="48">
        <f>C13*Data!$B$4</f>
        <v>0</v>
      </c>
      <c r="E13" s="49"/>
      <c r="F13" s="50" t="e">
        <f>(C13+D13)/(E13/Data!$B$3)</f>
        <v>#DIV/0!</v>
      </c>
      <c r="G13" s="41"/>
      <c r="H13" s="42"/>
      <c r="I13" s="41"/>
    </row>
    <row r="14" spans="2:12" x14ac:dyDescent="0.35">
      <c r="B14" s="36"/>
      <c r="C14" s="41"/>
      <c r="D14" s="48">
        <f>C14*Data!$B$4</f>
        <v>0</v>
      </c>
      <c r="E14" s="49"/>
      <c r="F14" s="50" t="e">
        <f>(C14+D14)/(E14/Data!$B$3)</f>
        <v>#DIV/0!</v>
      </c>
      <c r="G14" s="41"/>
      <c r="H14" s="42"/>
      <c r="I14" s="41"/>
    </row>
    <row r="15" spans="2:12" x14ac:dyDescent="0.35">
      <c r="B15" s="36"/>
      <c r="C15" s="41"/>
      <c r="D15" s="48">
        <f>C15*Data!$B$4</f>
        <v>0</v>
      </c>
      <c r="E15" s="49"/>
      <c r="F15" s="50" t="e">
        <f>(C15+D15)/(E15/Data!$B$3)</f>
        <v>#DIV/0!</v>
      </c>
      <c r="G15" s="41"/>
      <c r="H15" s="42"/>
      <c r="I15" s="41"/>
    </row>
    <row r="16" spans="2:12" x14ac:dyDescent="0.35">
      <c r="B16" s="36"/>
      <c r="C16" s="41"/>
      <c r="D16" s="48">
        <f>C16*Data!$B$4</f>
        <v>0</v>
      </c>
      <c r="E16" s="49"/>
      <c r="F16" s="50" t="e">
        <f>(C16+D16)/(E16/Data!$B$3)</f>
        <v>#DIV/0!</v>
      </c>
      <c r="G16" s="41"/>
      <c r="H16" s="42"/>
      <c r="I16" s="41"/>
    </row>
    <row r="17" spans="2:9" x14ac:dyDescent="0.35">
      <c r="B17" s="36"/>
      <c r="C17" s="41"/>
      <c r="D17" s="48">
        <f>C17*Data!$B$4</f>
        <v>0</v>
      </c>
      <c r="E17" s="49"/>
      <c r="F17" s="50" t="e">
        <f>(C17+D17)/(E17/Data!$B$3)</f>
        <v>#DIV/0!</v>
      </c>
      <c r="G17" s="41"/>
      <c r="H17" s="42"/>
      <c r="I17" s="41"/>
    </row>
    <row r="18" spans="2:9" x14ac:dyDescent="0.35">
      <c r="B18" s="36"/>
      <c r="C18" s="41"/>
      <c r="D18" s="48">
        <f>C18*Data!$B$4</f>
        <v>0</v>
      </c>
      <c r="E18" s="49"/>
      <c r="F18" s="50" t="e">
        <f>(C18+D18)/(E18/Data!$B$3)</f>
        <v>#DIV/0!</v>
      </c>
      <c r="G18" s="41"/>
      <c r="H18" s="42"/>
      <c r="I18" s="41"/>
    </row>
    <row r="19" spans="2:9" x14ac:dyDescent="0.35">
      <c r="B19" s="36"/>
      <c r="C19" s="41"/>
      <c r="D19" s="48">
        <f>C19*Data!$B$4</f>
        <v>0</v>
      </c>
      <c r="E19" s="49"/>
      <c r="F19" s="50" t="e">
        <f>(C19+D19)/(E19/Data!$B$3)</f>
        <v>#DIV/0!</v>
      </c>
      <c r="G19" s="41"/>
      <c r="H19" s="42"/>
      <c r="I19" s="41"/>
    </row>
    <row r="20" spans="2:9" x14ac:dyDescent="0.35">
      <c r="B20" s="36"/>
      <c r="C20" s="41"/>
      <c r="D20" s="48">
        <f>C20*Data!$B$4</f>
        <v>0</v>
      </c>
      <c r="E20" s="49"/>
      <c r="F20" s="50" t="e">
        <f>(C20+D20)/(E20/Data!$B$3)</f>
        <v>#DIV/0!</v>
      </c>
      <c r="G20" s="41"/>
      <c r="H20" s="42"/>
      <c r="I20" s="41"/>
    </row>
    <row r="21" spans="2:9" x14ac:dyDescent="0.35">
      <c r="B21" s="36"/>
      <c r="C21" s="41"/>
      <c r="D21" s="48">
        <f>C21*Data!$B$4</f>
        <v>0</v>
      </c>
      <c r="E21" s="49"/>
      <c r="F21" s="50" t="e">
        <f>(C21+D21)/(E21/Data!$B$3)</f>
        <v>#DIV/0!</v>
      </c>
      <c r="G21" s="41"/>
      <c r="H21" s="42"/>
      <c r="I21" s="41"/>
    </row>
    <row r="22" spans="2:9" x14ac:dyDescent="0.35">
      <c r="B22" s="36"/>
      <c r="C22" s="41"/>
      <c r="D22" s="48">
        <f>C22*Data!$B$4</f>
        <v>0</v>
      </c>
      <c r="E22" s="49"/>
      <c r="F22" s="50" t="e">
        <f>(C22+D22)/(E22/Data!$B$3)</f>
        <v>#DIV/0!</v>
      </c>
      <c r="G22" s="41"/>
      <c r="H22" s="42"/>
      <c r="I22" s="41"/>
    </row>
    <row r="23" spans="2:9" x14ac:dyDescent="0.35">
      <c r="B23" s="36"/>
      <c r="C23" s="41"/>
      <c r="D23" s="48">
        <f>C23*Data!$B$4</f>
        <v>0</v>
      </c>
      <c r="E23" s="49"/>
      <c r="F23" s="50" t="e">
        <f>(C23+D23)/(E23/Data!$B$3)</f>
        <v>#DIV/0!</v>
      </c>
      <c r="G23" s="41"/>
      <c r="H23" s="42"/>
      <c r="I23" s="41"/>
    </row>
    <row r="24" spans="2:9" x14ac:dyDescent="0.35">
      <c r="B24" s="36"/>
      <c r="C24" s="41"/>
      <c r="D24" s="48">
        <f>C24*Data!$B$4</f>
        <v>0</v>
      </c>
      <c r="E24" s="49"/>
      <c r="F24" s="50" t="e">
        <f>(C24+D24)/(E24/Data!$B$3)</f>
        <v>#DIV/0!</v>
      </c>
      <c r="G24" s="41"/>
      <c r="H24" s="42"/>
      <c r="I24" s="41"/>
    </row>
    <row r="25" spans="2:9" x14ac:dyDescent="0.35">
      <c r="B25" s="36"/>
      <c r="C25" s="41"/>
      <c r="D25" s="48">
        <f>C25*Data!$B$4</f>
        <v>0</v>
      </c>
      <c r="E25" s="49"/>
      <c r="F25" s="50" t="e">
        <f>(C25+D25)/(E25/Data!$B$3)</f>
        <v>#DIV/0!</v>
      </c>
      <c r="G25" s="41"/>
      <c r="H25" s="42"/>
      <c r="I25" s="41"/>
    </row>
    <row r="26" spans="2:9" x14ac:dyDescent="0.35">
      <c r="B26" s="36"/>
      <c r="C26" s="41"/>
      <c r="D26" s="48">
        <f>C26*Data!$B$4</f>
        <v>0</v>
      </c>
      <c r="E26" s="49"/>
      <c r="F26" s="50" t="e">
        <f>(C26+D26)/(E26/Data!$B$3)</f>
        <v>#DIV/0!</v>
      </c>
      <c r="G26" s="41"/>
      <c r="H26" s="42"/>
      <c r="I26" s="41"/>
    </row>
    <row r="27" spans="2:9" x14ac:dyDescent="0.35">
      <c r="B27" s="36"/>
      <c r="C27" s="41"/>
      <c r="D27" s="48">
        <f>C27*Data!$B$4</f>
        <v>0</v>
      </c>
      <c r="E27" s="49"/>
      <c r="F27" s="50" t="e">
        <f>(C27+D27)/(E27/Data!$B$3)</f>
        <v>#DIV/0!</v>
      </c>
      <c r="G27" s="41"/>
      <c r="H27" s="42"/>
      <c r="I27" s="41"/>
    </row>
    <row r="28" spans="2:9" x14ac:dyDescent="0.35">
      <c r="B28" s="36"/>
      <c r="C28" s="41"/>
      <c r="D28" s="48">
        <f>C28*Data!$B$4</f>
        <v>0</v>
      </c>
      <c r="E28" s="49"/>
      <c r="F28" s="50" t="e">
        <f>(C28+D28)/(E28/Data!$B$3)</f>
        <v>#DIV/0!</v>
      </c>
      <c r="G28" s="41"/>
      <c r="H28" s="42"/>
      <c r="I28" s="41"/>
    </row>
    <row r="29" spans="2:9" x14ac:dyDescent="0.35">
      <c r="B29" s="36"/>
      <c r="C29" s="41"/>
      <c r="D29" s="48">
        <f>C29*Data!$B$4</f>
        <v>0</v>
      </c>
      <c r="E29" s="49"/>
      <c r="F29" s="50" t="e">
        <f>(C29+D29)/(E29/Data!$B$3)</f>
        <v>#DIV/0!</v>
      </c>
      <c r="G29" s="41"/>
      <c r="H29" s="42"/>
      <c r="I29" s="41"/>
    </row>
    <row r="30" spans="2:9" x14ac:dyDescent="0.35">
      <c r="B30" s="36"/>
      <c r="C30" s="41"/>
      <c r="D30" s="48">
        <f>C30*Data!$B$4</f>
        <v>0</v>
      </c>
      <c r="E30" s="49"/>
      <c r="F30" s="50" t="e">
        <f>(C30+D30)/(E30/Data!$B$3)</f>
        <v>#DIV/0!</v>
      </c>
      <c r="G30" s="41"/>
      <c r="H30" s="42"/>
      <c r="I30" s="41"/>
    </row>
    <row r="31" spans="2:9" x14ac:dyDescent="0.35">
      <c r="B31" s="36"/>
      <c r="C31" s="41"/>
      <c r="D31" s="48">
        <f>C31*Data!$B$4</f>
        <v>0</v>
      </c>
      <c r="E31" s="49"/>
      <c r="F31" s="50" t="e">
        <f>(C31+D31)/(E31/Data!$B$3)</f>
        <v>#DIV/0!</v>
      </c>
      <c r="G31" s="41"/>
      <c r="H31" s="42"/>
      <c r="I31" s="41"/>
    </row>
    <row r="32" spans="2:9" x14ac:dyDescent="0.35">
      <c r="B32" s="36"/>
      <c r="C32" s="41"/>
      <c r="D32" s="48">
        <f>C32*Data!$B$4</f>
        <v>0</v>
      </c>
      <c r="E32" s="49"/>
      <c r="F32" s="50" t="e">
        <f>(C32+D32)/(E32/Data!$B$3)</f>
        <v>#DIV/0!</v>
      </c>
      <c r="G32" s="41"/>
      <c r="H32" s="42"/>
      <c r="I32" s="41"/>
    </row>
    <row r="33" spans="2:9" x14ac:dyDescent="0.35">
      <c r="B33" s="36"/>
      <c r="C33" s="41"/>
      <c r="D33" s="48">
        <f>C33*Data!$B$4</f>
        <v>0</v>
      </c>
      <c r="E33" s="49"/>
      <c r="F33" s="50" t="e">
        <f>(C33+D33)/(E33/Data!$B$3)</f>
        <v>#DIV/0!</v>
      </c>
      <c r="G33" s="41"/>
      <c r="H33" s="42"/>
      <c r="I33" s="41"/>
    </row>
    <row r="34" spans="2:9" x14ac:dyDescent="0.35">
      <c r="B34" s="36"/>
      <c r="C34" s="41"/>
      <c r="D34" s="48">
        <f>C34*Data!$B$4</f>
        <v>0</v>
      </c>
      <c r="E34" s="49"/>
      <c r="F34" s="50" t="e">
        <f>(C34+D34)/(E34/Data!$B$3)</f>
        <v>#DIV/0!</v>
      </c>
      <c r="G34" s="41"/>
      <c r="H34" s="42"/>
      <c r="I34" s="41"/>
    </row>
    <row r="35" spans="2:9" x14ac:dyDescent="0.35">
      <c r="B35" s="36"/>
      <c r="C35" s="41"/>
      <c r="D35" s="48">
        <f>C35*Data!$B$4</f>
        <v>0</v>
      </c>
      <c r="E35" s="49"/>
      <c r="F35" s="50" t="e">
        <f>(C35+D35)/(E35/Data!$B$3)</f>
        <v>#DIV/0!</v>
      </c>
      <c r="G35" s="41"/>
      <c r="H35" s="42"/>
      <c r="I35" s="41"/>
    </row>
    <row r="36" spans="2:9" x14ac:dyDescent="0.35">
      <c r="B36" s="36"/>
      <c r="C36" s="41"/>
      <c r="D36" s="48">
        <f>C36*Data!$B$4</f>
        <v>0</v>
      </c>
      <c r="E36" s="49"/>
      <c r="F36" s="50" t="e">
        <f>(C36+D36)/(E36/Data!$B$3)</f>
        <v>#DIV/0!</v>
      </c>
      <c r="G36" s="41"/>
      <c r="H36" s="42"/>
      <c r="I36" s="41"/>
    </row>
    <row r="37" spans="2:9" x14ac:dyDescent="0.35">
      <c r="B37" s="36"/>
      <c r="C37" s="41"/>
      <c r="D37" s="48">
        <f>C37*Data!$B$4</f>
        <v>0</v>
      </c>
      <c r="E37" s="49"/>
      <c r="F37" s="50" t="e">
        <f>(C37+D37)/(E37/Data!$B$3)</f>
        <v>#DIV/0!</v>
      </c>
      <c r="G37" s="41"/>
      <c r="H37" s="42"/>
      <c r="I37" s="41"/>
    </row>
    <row r="38" spans="2:9" x14ac:dyDescent="0.35">
      <c r="B38" s="36"/>
      <c r="C38" s="41"/>
      <c r="D38" s="48">
        <f>C38*Data!$B$4</f>
        <v>0</v>
      </c>
      <c r="E38" s="49"/>
      <c r="F38" s="50" t="e">
        <f>(C38+D38)/(E38/Data!$B$3)</f>
        <v>#DIV/0!</v>
      </c>
      <c r="G38" s="41"/>
      <c r="H38" s="42"/>
      <c r="I38" s="41"/>
    </row>
    <row r="39" spans="2:9" x14ac:dyDescent="0.35">
      <c r="B39" s="36"/>
      <c r="C39" s="41"/>
      <c r="D39" s="48">
        <f>C39*Data!$B$4</f>
        <v>0</v>
      </c>
      <c r="E39" s="49"/>
      <c r="F39" s="50" t="e">
        <f>(C39+D39)/(E39/Data!$B$3)</f>
        <v>#DIV/0!</v>
      </c>
      <c r="G39" s="41"/>
      <c r="H39" s="42"/>
      <c r="I39" s="41"/>
    </row>
    <row r="40" spans="2:9" x14ac:dyDescent="0.35">
      <c r="B40" s="36"/>
      <c r="C40" s="41"/>
      <c r="D40" s="48">
        <f>C40*Data!$B$4</f>
        <v>0</v>
      </c>
      <c r="E40" s="49"/>
      <c r="F40" s="50" t="e">
        <f>(C40+D40)/(E40/Data!$B$3)</f>
        <v>#DIV/0!</v>
      </c>
      <c r="G40" s="41"/>
      <c r="H40" s="42"/>
      <c r="I40" s="41"/>
    </row>
    <row r="41" spans="2:9" x14ac:dyDescent="0.35">
      <c r="B41" s="36"/>
      <c r="C41" s="41"/>
      <c r="D41" s="48">
        <f>C41*Data!$B$4</f>
        <v>0</v>
      </c>
      <c r="E41" s="49"/>
      <c r="F41" s="50" t="e">
        <f>(C41+D41)/(E41/Data!$B$3)</f>
        <v>#DIV/0!</v>
      </c>
      <c r="G41" s="41"/>
      <c r="H41" s="42"/>
      <c r="I41" s="41"/>
    </row>
    <row r="42" spans="2:9" x14ac:dyDescent="0.35">
      <c r="B42" s="36"/>
      <c r="C42" s="41"/>
      <c r="D42" s="48">
        <f>C42*Data!$B$4</f>
        <v>0</v>
      </c>
      <c r="E42" s="49"/>
      <c r="F42" s="50" t="e">
        <f>(C42+D42)/(E42/Data!$B$3)</f>
        <v>#DIV/0!</v>
      </c>
      <c r="G42" s="41"/>
      <c r="H42" s="42"/>
      <c r="I42" s="41"/>
    </row>
    <row r="43" spans="2:9" x14ac:dyDescent="0.35">
      <c r="B43" s="36"/>
      <c r="C43" s="41"/>
      <c r="D43" s="48">
        <f>C43*Data!$B$4</f>
        <v>0</v>
      </c>
      <c r="E43" s="49"/>
      <c r="F43" s="50" t="e">
        <f>(C43+D43)/(E43/Data!$B$3)</f>
        <v>#DIV/0!</v>
      </c>
      <c r="G43" s="41"/>
      <c r="H43" s="42"/>
      <c r="I43" s="41"/>
    </row>
    <row r="44" spans="2:9" x14ac:dyDescent="0.35">
      <c r="B44" s="36"/>
      <c r="C44" s="41"/>
      <c r="D44" s="48">
        <f>C44*Data!$B$4</f>
        <v>0</v>
      </c>
      <c r="E44" s="49"/>
      <c r="F44" s="50" t="e">
        <f>(C44+D44)/(E44/Data!$B$3)</f>
        <v>#DIV/0!</v>
      </c>
      <c r="G44" s="41"/>
      <c r="H44" s="42"/>
      <c r="I44" s="41"/>
    </row>
    <row r="45" spans="2:9" x14ac:dyDescent="0.35">
      <c r="B45" s="36"/>
      <c r="C45" s="41"/>
      <c r="D45" s="48">
        <f>C45*Data!$B$4</f>
        <v>0</v>
      </c>
      <c r="E45" s="49"/>
      <c r="F45" s="50" t="e">
        <f>(C45+D45)/(E45/Data!$B$3)</f>
        <v>#DIV/0!</v>
      </c>
      <c r="G45" s="41"/>
      <c r="H45" s="42"/>
      <c r="I45" s="41"/>
    </row>
    <row r="46" spans="2:9" x14ac:dyDescent="0.35">
      <c r="B46" s="36"/>
      <c r="C46" s="41"/>
      <c r="D46" s="48">
        <f>C46*Data!$B$4</f>
        <v>0</v>
      </c>
      <c r="E46" s="49"/>
      <c r="F46" s="50" t="e">
        <f>(C46+D46)/(E46/Data!$B$3)</f>
        <v>#DIV/0!</v>
      </c>
      <c r="G46" s="41"/>
      <c r="H46" s="42"/>
      <c r="I46" s="41"/>
    </row>
    <row r="47" spans="2:9" x14ac:dyDescent="0.35">
      <c r="B47" s="36"/>
      <c r="C47" s="41"/>
      <c r="D47" s="48">
        <f>C47*Data!$B$4</f>
        <v>0</v>
      </c>
      <c r="E47" s="49"/>
      <c r="F47" s="50" t="e">
        <f>(C47+D47)/(E47/Data!$B$3)</f>
        <v>#DIV/0!</v>
      </c>
      <c r="G47" s="41"/>
      <c r="H47" s="42"/>
      <c r="I47" s="41"/>
    </row>
    <row r="48" spans="2:9" x14ac:dyDescent="0.35">
      <c r="B48" s="36"/>
      <c r="C48" s="41"/>
      <c r="D48" s="48">
        <f>C48*Data!$B$4</f>
        <v>0</v>
      </c>
      <c r="E48" s="49"/>
      <c r="F48" s="50" t="e">
        <f>(C48+D48)/(E48/Data!$B$3)</f>
        <v>#DIV/0!</v>
      </c>
      <c r="G48" s="41"/>
      <c r="H48" s="42"/>
      <c r="I48" s="41"/>
    </row>
    <row r="49" spans="2:9" x14ac:dyDescent="0.35">
      <c r="B49" s="36"/>
      <c r="C49" s="41"/>
      <c r="D49" s="48">
        <f>C49*Data!$B$4</f>
        <v>0</v>
      </c>
      <c r="E49" s="49"/>
      <c r="F49" s="50" t="e">
        <f>(C49+D49)/(E49/Data!$B$3)</f>
        <v>#DIV/0!</v>
      </c>
      <c r="G49" s="41"/>
      <c r="H49" s="42"/>
      <c r="I49" s="41"/>
    </row>
    <row r="50" spans="2:9" x14ac:dyDescent="0.35">
      <c r="B50" s="36"/>
      <c r="C50" s="41"/>
      <c r="D50" s="48">
        <f>C50*Data!$B$4</f>
        <v>0</v>
      </c>
      <c r="E50" s="49"/>
      <c r="F50" s="50" t="e">
        <f>(C50+D50)/(E50/Data!$B$3)</f>
        <v>#DIV/0!</v>
      </c>
      <c r="G50" s="41"/>
      <c r="H50" s="42"/>
      <c r="I50" s="41"/>
    </row>
  </sheetData>
  <dataConsolidate function="varp"/>
  <mergeCells count="1">
    <mergeCell ref="B1:I1"/>
  </mergeCell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A6DAFE4-4042-4298-A924-55A38F9E4ECA}">
          <x14:formula1>
            <xm:f>Data!$C$8:$C$13</xm:f>
          </x14:formula1>
          <xm:sqref>G3:G50</xm:sqref>
        </x14:dataValidation>
        <x14:dataValidation type="list" allowBlank="1" showInputMessage="1" showErrorMessage="1" xr:uid="{0ED4E24D-AD8A-48F3-8681-65E490A0692D}">
          <x14:formula1>
            <xm:f>Data!$A$27:$A$34</xm:f>
          </x14:formula1>
          <xm:sqref>I3:I50</xm:sqref>
        </x14:dataValidation>
        <x14:dataValidation type="list" allowBlank="1" showInputMessage="1" showErrorMessage="1" xr:uid="{F3134669-5C27-412C-A7FC-E92BD576ECF4}">
          <x14:formula1>
            <xm:f>Data!$A$21:$A$22</xm:f>
          </x14:formula1>
          <xm:sqref>H3:H50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F27BB-A499-4B27-996E-D0352428D7D3}">
  <dimension ref="B1:L52"/>
  <sheetViews>
    <sheetView zoomScale="130" zoomScaleNormal="130" workbookViewId="0">
      <selection activeCell="N16" sqref="N16"/>
    </sheetView>
  </sheetViews>
  <sheetFormatPr defaultColWidth="8.81640625" defaultRowHeight="14.5" x14ac:dyDescent="0.35"/>
  <cols>
    <col min="1" max="1" width="1.453125" customWidth="1"/>
    <col min="2" max="3" width="9.54296875" customWidth="1"/>
    <col min="4" max="4" width="11.453125" bestFit="1" customWidth="1"/>
    <col min="5" max="5" width="13.1796875" customWidth="1"/>
    <col min="6" max="6" width="12.453125" bestFit="1" customWidth="1"/>
    <col min="7" max="7" width="18.26953125" customWidth="1"/>
    <col min="8" max="9" width="9.54296875" customWidth="1"/>
    <col min="12" max="12" width="14.453125" customWidth="1"/>
  </cols>
  <sheetData>
    <row r="1" spans="2:12" ht="23.5" x14ac:dyDescent="0.55000000000000004">
      <c r="B1" s="61" t="s">
        <v>46</v>
      </c>
      <c r="C1" s="61"/>
      <c r="D1" s="61"/>
      <c r="E1" s="61"/>
      <c r="F1" s="61"/>
      <c r="G1" s="61"/>
      <c r="H1" s="61"/>
      <c r="I1" s="61"/>
    </row>
    <row r="2" spans="2:12" ht="29" x14ac:dyDescent="0.35"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3" t="s">
        <v>32</v>
      </c>
      <c r="H2" s="3" t="s">
        <v>33</v>
      </c>
      <c r="I2" s="3" t="s">
        <v>34</v>
      </c>
      <c r="K2" s="26"/>
      <c r="L2" s="2" t="s">
        <v>35</v>
      </c>
    </row>
    <row r="3" spans="2:12" x14ac:dyDescent="0.35">
      <c r="B3" s="36"/>
      <c r="C3" s="41"/>
      <c r="D3" s="48">
        <f>C3*Data!$B$4</f>
        <v>0</v>
      </c>
      <c r="E3" s="49"/>
      <c r="F3" s="50" t="e">
        <f>(C3+D3)/(E3/Data!$B$3)</f>
        <v>#DIV/0!</v>
      </c>
      <c r="G3" s="41"/>
      <c r="H3" s="42"/>
      <c r="I3" s="41"/>
    </row>
    <row r="4" spans="2:12" x14ac:dyDescent="0.35">
      <c r="B4" s="36"/>
      <c r="C4" s="41"/>
      <c r="D4" s="48">
        <f>C4*Data!$B$4</f>
        <v>0</v>
      </c>
      <c r="E4" s="49"/>
      <c r="F4" s="50" t="e">
        <f>(C4+D4)/(E4/Data!$B$3)</f>
        <v>#DIV/0!</v>
      </c>
      <c r="G4" s="41"/>
      <c r="H4" s="42"/>
      <c r="I4" s="41"/>
    </row>
    <row r="5" spans="2:12" x14ac:dyDescent="0.35">
      <c r="B5" s="36"/>
      <c r="C5" s="41"/>
      <c r="D5" s="48">
        <f>C5*Data!$B$4</f>
        <v>0</v>
      </c>
      <c r="E5" s="49"/>
      <c r="F5" s="50" t="e">
        <f>(C5+D5)/(E5/Data!$B$3)</f>
        <v>#DIV/0!</v>
      </c>
      <c r="G5" s="41"/>
      <c r="H5" s="42"/>
      <c r="I5" s="41"/>
    </row>
    <row r="6" spans="2:12" x14ac:dyDescent="0.35">
      <c r="B6" s="36"/>
      <c r="C6" s="41"/>
      <c r="D6" s="48">
        <f>C6*Data!$B$4</f>
        <v>0</v>
      </c>
      <c r="E6" s="49"/>
      <c r="F6" s="50" t="e">
        <f>(C6+D6)/(E6/Data!$B$3)</f>
        <v>#DIV/0!</v>
      </c>
      <c r="G6" s="41"/>
      <c r="H6" s="42"/>
      <c r="I6" s="41"/>
    </row>
    <row r="7" spans="2:12" x14ac:dyDescent="0.35">
      <c r="B7" s="36"/>
      <c r="C7" s="41"/>
      <c r="D7" s="48">
        <f>C7*Data!$B$4</f>
        <v>0</v>
      </c>
      <c r="E7" s="49"/>
      <c r="F7" s="50" t="e">
        <f>(C7+D7)/(E7/Data!$B$3)</f>
        <v>#DIV/0!</v>
      </c>
      <c r="G7" s="41"/>
      <c r="H7" s="42"/>
      <c r="I7" s="41"/>
    </row>
    <row r="8" spans="2:12" x14ac:dyDescent="0.35">
      <c r="B8" s="36"/>
      <c r="C8" s="41"/>
      <c r="D8" s="48">
        <f>C8*Data!$B$4</f>
        <v>0</v>
      </c>
      <c r="E8" s="49"/>
      <c r="F8" s="50" t="e">
        <f>(C8+D8)/(E8/Data!$B$3)</f>
        <v>#DIV/0!</v>
      </c>
      <c r="G8" s="41"/>
      <c r="H8" s="42"/>
      <c r="I8" s="41"/>
    </row>
    <row r="9" spans="2:12" x14ac:dyDescent="0.35">
      <c r="B9" s="36"/>
      <c r="C9" s="41"/>
      <c r="D9" s="48">
        <f>C9*Data!$B$4</f>
        <v>0</v>
      </c>
      <c r="E9" s="49"/>
      <c r="F9" s="50" t="e">
        <f>(C9+D9)/(E9/Data!$B$3)</f>
        <v>#DIV/0!</v>
      </c>
      <c r="G9" s="41"/>
      <c r="H9" s="42"/>
      <c r="I9" s="41"/>
    </row>
    <row r="10" spans="2:12" x14ac:dyDescent="0.35">
      <c r="B10" s="36"/>
      <c r="C10" s="41"/>
      <c r="D10" s="48">
        <f>C10*Data!$B$4</f>
        <v>0</v>
      </c>
      <c r="E10" s="49"/>
      <c r="F10" s="50" t="e">
        <f>(C10+D10)/(E10/Data!$B$3)</f>
        <v>#DIV/0!</v>
      </c>
      <c r="G10" s="41"/>
      <c r="H10" s="42"/>
      <c r="I10" s="41"/>
    </row>
    <row r="11" spans="2:12" x14ac:dyDescent="0.35">
      <c r="B11" s="36"/>
      <c r="C11" s="41"/>
      <c r="D11" s="48">
        <f>C11*Data!$B$4</f>
        <v>0</v>
      </c>
      <c r="E11" s="49"/>
      <c r="F11" s="50" t="e">
        <f>(C11+D11)/(E11/Data!$B$3)</f>
        <v>#DIV/0!</v>
      </c>
      <c r="G11" s="41"/>
      <c r="H11" s="42"/>
      <c r="I11" s="41"/>
    </row>
    <row r="12" spans="2:12" x14ac:dyDescent="0.35">
      <c r="B12" s="36"/>
      <c r="C12" s="41"/>
      <c r="D12" s="48">
        <f>C12*Data!$B$4</f>
        <v>0</v>
      </c>
      <c r="E12" s="49"/>
      <c r="F12" s="50" t="e">
        <f>(C12+D12)/(E12/Data!$B$3)</f>
        <v>#DIV/0!</v>
      </c>
      <c r="G12" s="41"/>
      <c r="H12" s="42"/>
      <c r="I12" s="41"/>
    </row>
    <row r="13" spans="2:12" x14ac:dyDescent="0.35">
      <c r="B13" s="36"/>
      <c r="C13" s="41"/>
      <c r="D13" s="48">
        <f>C13*Data!$B$4</f>
        <v>0</v>
      </c>
      <c r="E13" s="49"/>
      <c r="F13" s="50" t="e">
        <f>(C13+D13)/(E13/Data!$B$3)</f>
        <v>#DIV/0!</v>
      </c>
      <c r="G13" s="41"/>
      <c r="H13" s="42"/>
      <c r="I13" s="41"/>
    </row>
    <row r="14" spans="2:12" x14ac:dyDescent="0.35">
      <c r="B14" s="36"/>
      <c r="C14" s="41"/>
      <c r="D14" s="48">
        <f>C14*Data!$B$4</f>
        <v>0</v>
      </c>
      <c r="E14" s="49"/>
      <c r="F14" s="50" t="e">
        <f>(C14+D14)/(E14/Data!$B$3)</f>
        <v>#DIV/0!</v>
      </c>
      <c r="G14" s="41"/>
      <c r="H14" s="42"/>
      <c r="I14" s="41"/>
    </row>
    <row r="15" spans="2:12" x14ac:dyDescent="0.35">
      <c r="B15" s="36"/>
      <c r="C15" s="41"/>
      <c r="D15" s="48">
        <f>C15*Data!$B$4</f>
        <v>0</v>
      </c>
      <c r="E15" s="49"/>
      <c r="F15" s="50" t="e">
        <f>(C15+D15)/(E15/Data!$B$3)</f>
        <v>#DIV/0!</v>
      </c>
      <c r="G15" s="41"/>
      <c r="H15" s="42"/>
      <c r="I15" s="41"/>
    </row>
    <row r="16" spans="2:12" x14ac:dyDescent="0.35">
      <c r="B16" s="36"/>
      <c r="C16" s="41"/>
      <c r="D16" s="48">
        <f>C16*Data!$B$4</f>
        <v>0</v>
      </c>
      <c r="E16" s="49"/>
      <c r="F16" s="50" t="e">
        <f>(C16+D16)/(E16/Data!$B$3)</f>
        <v>#DIV/0!</v>
      </c>
      <c r="G16" s="41"/>
      <c r="H16" s="42"/>
      <c r="I16" s="41"/>
    </row>
    <row r="17" spans="2:9" x14ac:dyDescent="0.35">
      <c r="B17" s="36"/>
      <c r="C17" s="41"/>
      <c r="D17" s="48">
        <f>C17*Data!$B$4</f>
        <v>0</v>
      </c>
      <c r="E17" s="49"/>
      <c r="F17" s="50" t="e">
        <f>(C17+D17)/(E17/Data!$B$3)</f>
        <v>#DIV/0!</v>
      </c>
      <c r="G17" s="41"/>
      <c r="H17" s="42"/>
      <c r="I17" s="41"/>
    </row>
    <row r="18" spans="2:9" x14ac:dyDescent="0.35">
      <c r="B18" s="36"/>
      <c r="C18" s="41"/>
      <c r="D18" s="48">
        <f>C18*Data!$B$4</f>
        <v>0</v>
      </c>
      <c r="E18" s="49"/>
      <c r="F18" s="50" t="e">
        <f>(C18+D18)/(E18/Data!$B$3)</f>
        <v>#DIV/0!</v>
      </c>
      <c r="G18" s="41"/>
      <c r="H18" s="42"/>
      <c r="I18" s="41"/>
    </row>
    <row r="19" spans="2:9" x14ac:dyDescent="0.35">
      <c r="B19" s="36"/>
      <c r="C19" s="41"/>
      <c r="D19" s="48">
        <f>C19*Data!$B$4</f>
        <v>0</v>
      </c>
      <c r="E19" s="49"/>
      <c r="F19" s="50" t="e">
        <f>(C19+D19)/(E19/Data!$B$3)</f>
        <v>#DIV/0!</v>
      </c>
      <c r="G19" s="41"/>
      <c r="H19" s="42"/>
      <c r="I19" s="41"/>
    </row>
    <row r="20" spans="2:9" x14ac:dyDescent="0.35">
      <c r="B20" s="36"/>
      <c r="C20" s="41"/>
      <c r="D20" s="48">
        <f>C20*Data!$B$4</f>
        <v>0</v>
      </c>
      <c r="E20" s="49"/>
      <c r="F20" s="50" t="e">
        <f>(C20+D20)/(E20/Data!$B$3)</f>
        <v>#DIV/0!</v>
      </c>
      <c r="G20" s="41"/>
      <c r="H20" s="42"/>
      <c r="I20" s="41"/>
    </row>
    <row r="21" spans="2:9" x14ac:dyDescent="0.35">
      <c r="B21" s="36"/>
      <c r="C21" s="41"/>
      <c r="D21" s="48">
        <f>C21*Data!$B$4</f>
        <v>0</v>
      </c>
      <c r="E21" s="49"/>
      <c r="F21" s="50" t="e">
        <f>(C21+D21)/(E21/Data!$B$3)</f>
        <v>#DIV/0!</v>
      </c>
      <c r="G21" s="41"/>
      <c r="H21" s="42"/>
      <c r="I21" s="41"/>
    </row>
    <row r="22" spans="2:9" x14ac:dyDescent="0.35">
      <c r="B22" s="36"/>
      <c r="C22" s="41"/>
      <c r="D22" s="48">
        <f>C22*Data!$B$4</f>
        <v>0</v>
      </c>
      <c r="E22" s="49"/>
      <c r="F22" s="50" t="e">
        <f>(C22+D22)/(E22/Data!$B$3)</f>
        <v>#DIV/0!</v>
      </c>
      <c r="G22" s="41"/>
      <c r="H22" s="42"/>
      <c r="I22" s="41"/>
    </row>
    <row r="23" spans="2:9" x14ac:dyDescent="0.35">
      <c r="B23" s="36"/>
      <c r="C23" s="41"/>
      <c r="D23" s="48">
        <f>C23*Data!$B$4</f>
        <v>0</v>
      </c>
      <c r="E23" s="49"/>
      <c r="F23" s="50" t="e">
        <f>(C23+D23)/(E23/Data!$B$3)</f>
        <v>#DIV/0!</v>
      </c>
      <c r="G23" s="41"/>
      <c r="H23" s="42"/>
      <c r="I23" s="41"/>
    </row>
    <row r="24" spans="2:9" x14ac:dyDescent="0.35">
      <c r="B24" s="36"/>
      <c r="C24" s="41"/>
      <c r="D24" s="48">
        <f>C24*Data!$B$4</f>
        <v>0</v>
      </c>
      <c r="E24" s="49"/>
      <c r="F24" s="50" t="e">
        <f>(C24+D24)/(E24/Data!$B$3)</f>
        <v>#DIV/0!</v>
      </c>
      <c r="G24" s="41"/>
      <c r="H24" s="42"/>
      <c r="I24" s="41"/>
    </row>
    <row r="25" spans="2:9" x14ac:dyDescent="0.35">
      <c r="B25" s="36"/>
      <c r="C25" s="41"/>
      <c r="D25" s="48">
        <f>C25*Data!$B$4</f>
        <v>0</v>
      </c>
      <c r="E25" s="49"/>
      <c r="F25" s="50" t="e">
        <f>(C25+D25)/(E25/Data!$B$3)</f>
        <v>#DIV/0!</v>
      </c>
      <c r="G25" s="41"/>
      <c r="H25" s="42"/>
      <c r="I25" s="41"/>
    </row>
    <row r="26" spans="2:9" x14ac:dyDescent="0.35">
      <c r="B26" s="36"/>
      <c r="C26" s="41"/>
      <c r="D26" s="48">
        <f>C26*Data!$B$4</f>
        <v>0</v>
      </c>
      <c r="E26" s="49"/>
      <c r="F26" s="50" t="e">
        <f>(C26+D26)/(E26/Data!$B$3)</f>
        <v>#DIV/0!</v>
      </c>
      <c r="G26" s="41"/>
      <c r="H26" s="42"/>
      <c r="I26" s="41"/>
    </row>
    <row r="27" spans="2:9" x14ac:dyDescent="0.35">
      <c r="B27" s="36"/>
      <c r="C27" s="41"/>
      <c r="D27" s="48">
        <f>C27*Data!$B$4</f>
        <v>0</v>
      </c>
      <c r="E27" s="49"/>
      <c r="F27" s="50" t="e">
        <f>(C27+D27)/(E27/Data!$B$3)</f>
        <v>#DIV/0!</v>
      </c>
      <c r="G27" s="41"/>
      <c r="H27" s="42"/>
      <c r="I27" s="41"/>
    </row>
    <row r="28" spans="2:9" x14ac:dyDescent="0.35">
      <c r="B28" s="36"/>
      <c r="C28" s="41"/>
      <c r="D28" s="48">
        <f>C28*Data!$B$4</f>
        <v>0</v>
      </c>
      <c r="E28" s="49"/>
      <c r="F28" s="50" t="e">
        <f>(C28+D28)/(E28/Data!$B$3)</f>
        <v>#DIV/0!</v>
      </c>
      <c r="G28" s="41"/>
      <c r="H28" s="42"/>
      <c r="I28" s="41"/>
    </row>
    <row r="29" spans="2:9" x14ac:dyDescent="0.35">
      <c r="B29" s="36"/>
      <c r="C29" s="41"/>
      <c r="D29" s="48">
        <f>C29*Data!$B$4</f>
        <v>0</v>
      </c>
      <c r="E29" s="49"/>
      <c r="F29" s="50" t="e">
        <f>(C29+D29)/(E29/Data!$B$3)</f>
        <v>#DIV/0!</v>
      </c>
      <c r="G29" s="41"/>
      <c r="H29" s="42"/>
      <c r="I29" s="41"/>
    </row>
    <row r="30" spans="2:9" x14ac:dyDescent="0.35">
      <c r="B30" s="36"/>
      <c r="C30" s="41"/>
      <c r="D30" s="48">
        <f>C30*Data!$B$4</f>
        <v>0</v>
      </c>
      <c r="E30" s="49"/>
      <c r="F30" s="50" t="e">
        <f>(C30+D30)/(E30/Data!$B$3)</f>
        <v>#DIV/0!</v>
      </c>
      <c r="G30" s="41"/>
      <c r="H30" s="42"/>
      <c r="I30" s="41"/>
    </row>
    <row r="31" spans="2:9" x14ac:dyDescent="0.35">
      <c r="B31" s="36"/>
      <c r="C31" s="41"/>
      <c r="D31" s="48">
        <f>C31*Data!$B$4</f>
        <v>0</v>
      </c>
      <c r="E31" s="49"/>
      <c r="F31" s="50" t="e">
        <f>(C31+D31)/(E31/Data!$B$3)</f>
        <v>#DIV/0!</v>
      </c>
      <c r="G31" s="41"/>
      <c r="H31" s="42"/>
      <c r="I31" s="41"/>
    </row>
    <row r="32" spans="2:9" x14ac:dyDescent="0.35">
      <c r="B32" s="36"/>
      <c r="C32" s="41"/>
      <c r="D32" s="48">
        <f>C32*Data!$B$4</f>
        <v>0</v>
      </c>
      <c r="E32" s="49"/>
      <c r="F32" s="50" t="e">
        <f>(C32+D32)/(E32/Data!$B$3)</f>
        <v>#DIV/0!</v>
      </c>
      <c r="G32" s="41"/>
      <c r="H32" s="42"/>
      <c r="I32" s="41"/>
    </row>
    <row r="33" spans="2:9" x14ac:dyDescent="0.35">
      <c r="B33" s="36"/>
      <c r="C33" s="41"/>
      <c r="D33" s="48">
        <f>C33*Data!$B$4</f>
        <v>0</v>
      </c>
      <c r="E33" s="49"/>
      <c r="F33" s="50" t="e">
        <f>(C33+D33)/(E33/Data!$B$3)</f>
        <v>#DIV/0!</v>
      </c>
      <c r="G33" s="41"/>
      <c r="H33" s="42"/>
      <c r="I33" s="41"/>
    </row>
    <row r="34" spans="2:9" x14ac:dyDescent="0.35">
      <c r="B34" s="36"/>
      <c r="C34" s="41"/>
      <c r="D34" s="48">
        <f>C34*Data!$B$4</f>
        <v>0</v>
      </c>
      <c r="E34" s="49"/>
      <c r="F34" s="50" t="e">
        <f>(C34+D34)/(E34/Data!$B$3)</f>
        <v>#DIV/0!</v>
      </c>
      <c r="G34" s="41"/>
      <c r="H34" s="42"/>
      <c r="I34" s="41"/>
    </row>
    <row r="35" spans="2:9" x14ac:dyDescent="0.35">
      <c r="B35" s="36"/>
      <c r="C35" s="41"/>
      <c r="D35" s="48">
        <f>C35*Data!$B$4</f>
        <v>0</v>
      </c>
      <c r="E35" s="49"/>
      <c r="F35" s="50" t="e">
        <f>(C35+D35)/(E35/Data!$B$3)</f>
        <v>#DIV/0!</v>
      </c>
      <c r="G35" s="41"/>
      <c r="H35" s="42"/>
      <c r="I35" s="41"/>
    </row>
    <row r="36" spans="2:9" x14ac:dyDescent="0.35">
      <c r="B36" s="36"/>
      <c r="C36" s="41"/>
      <c r="D36" s="48">
        <f>C36*Data!$B$4</f>
        <v>0</v>
      </c>
      <c r="E36" s="49"/>
      <c r="F36" s="50" t="e">
        <f>(C36+D36)/(E36/Data!$B$3)</f>
        <v>#DIV/0!</v>
      </c>
      <c r="G36" s="41"/>
      <c r="H36" s="42"/>
      <c r="I36" s="41"/>
    </row>
    <row r="37" spans="2:9" x14ac:dyDescent="0.35">
      <c r="B37" s="36"/>
      <c r="C37" s="41"/>
      <c r="D37" s="48">
        <f>C37*Data!$B$4</f>
        <v>0</v>
      </c>
      <c r="E37" s="49"/>
      <c r="F37" s="50" t="e">
        <f>(C37+D37)/(E37/Data!$B$3)</f>
        <v>#DIV/0!</v>
      </c>
      <c r="G37" s="41"/>
      <c r="H37" s="42"/>
      <c r="I37" s="41"/>
    </row>
    <row r="38" spans="2:9" x14ac:dyDescent="0.35">
      <c r="B38" s="36"/>
      <c r="C38" s="41"/>
      <c r="D38" s="48">
        <f>C38*Data!$B$4</f>
        <v>0</v>
      </c>
      <c r="E38" s="49"/>
      <c r="F38" s="50" t="e">
        <f>(C38+D38)/(E38/Data!$B$3)</f>
        <v>#DIV/0!</v>
      </c>
      <c r="G38" s="41"/>
      <c r="H38" s="42"/>
      <c r="I38" s="41"/>
    </row>
    <row r="39" spans="2:9" x14ac:dyDescent="0.35">
      <c r="B39" s="36"/>
      <c r="C39" s="41"/>
      <c r="D39" s="48">
        <f>C39*Data!$B$4</f>
        <v>0</v>
      </c>
      <c r="E39" s="49"/>
      <c r="F39" s="50" t="e">
        <f>(C39+D39)/(E39/Data!$B$3)</f>
        <v>#DIV/0!</v>
      </c>
      <c r="G39" s="41"/>
      <c r="H39" s="42"/>
      <c r="I39" s="41"/>
    </row>
    <row r="40" spans="2:9" x14ac:dyDescent="0.35">
      <c r="B40" s="36"/>
      <c r="C40" s="41"/>
      <c r="D40" s="48">
        <f>C40*Data!$B$4</f>
        <v>0</v>
      </c>
      <c r="E40" s="49"/>
      <c r="F40" s="50" t="e">
        <f>(C40+D40)/(E40/Data!$B$3)</f>
        <v>#DIV/0!</v>
      </c>
      <c r="G40" s="41"/>
      <c r="H40" s="42"/>
      <c r="I40" s="41"/>
    </row>
    <row r="41" spans="2:9" x14ac:dyDescent="0.35">
      <c r="B41" s="36"/>
      <c r="C41" s="41"/>
      <c r="D41" s="48">
        <f>C41*Data!$B$4</f>
        <v>0</v>
      </c>
      <c r="E41" s="49"/>
      <c r="F41" s="50" t="e">
        <f>(C41+D41)/(E41/Data!$B$3)</f>
        <v>#DIV/0!</v>
      </c>
      <c r="G41" s="41"/>
      <c r="H41" s="42"/>
      <c r="I41" s="41"/>
    </row>
    <row r="42" spans="2:9" x14ac:dyDescent="0.35">
      <c r="B42" s="36"/>
      <c r="C42" s="41"/>
      <c r="D42" s="48">
        <f>C42*Data!$B$4</f>
        <v>0</v>
      </c>
      <c r="E42" s="49"/>
      <c r="F42" s="50" t="e">
        <f>(C42+D42)/(E42/Data!$B$3)</f>
        <v>#DIV/0!</v>
      </c>
      <c r="G42" s="41"/>
      <c r="H42" s="42"/>
      <c r="I42" s="41"/>
    </row>
    <row r="43" spans="2:9" x14ac:dyDescent="0.35">
      <c r="B43" s="36"/>
      <c r="C43" s="41"/>
      <c r="D43" s="48">
        <f>C43*Data!$B$4</f>
        <v>0</v>
      </c>
      <c r="E43" s="49"/>
      <c r="F43" s="50" t="e">
        <f>(C43+D43)/(E43/Data!$B$3)</f>
        <v>#DIV/0!</v>
      </c>
      <c r="G43" s="41"/>
      <c r="H43" s="42"/>
      <c r="I43" s="41"/>
    </row>
    <row r="44" spans="2:9" x14ac:dyDescent="0.35">
      <c r="B44" s="36"/>
      <c r="C44" s="41"/>
      <c r="D44" s="48">
        <f>C44*Data!$B$4</f>
        <v>0</v>
      </c>
      <c r="E44" s="49"/>
      <c r="F44" s="50" t="e">
        <f>(C44+D44)/(E44/Data!$B$3)</f>
        <v>#DIV/0!</v>
      </c>
      <c r="G44" s="41"/>
      <c r="H44" s="42"/>
      <c r="I44" s="41"/>
    </row>
    <row r="45" spans="2:9" x14ac:dyDescent="0.35">
      <c r="B45" s="36"/>
      <c r="C45" s="41"/>
      <c r="D45" s="48">
        <f>C45*Data!$B$4</f>
        <v>0</v>
      </c>
      <c r="E45" s="49"/>
      <c r="F45" s="50" t="e">
        <f>(C45+D45)/(E45/Data!$B$3)</f>
        <v>#DIV/0!</v>
      </c>
      <c r="G45" s="41"/>
      <c r="H45" s="42"/>
      <c r="I45" s="41"/>
    </row>
    <row r="46" spans="2:9" x14ac:dyDescent="0.35">
      <c r="B46" s="36"/>
      <c r="C46" s="41"/>
      <c r="D46" s="48">
        <f>C46*Data!$B$4</f>
        <v>0</v>
      </c>
      <c r="E46" s="49"/>
      <c r="F46" s="50" t="e">
        <f>(C46+D46)/(E46/Data!$B$3)</f>
        <v>#DIV/0!</v>
      </c>
      <c r="G46" s="41"/>
      <c r="H46" s="42"/>
      <c r="I46" s="41"/>
    </row>
    <row r="47" spans="2:9" x14ac:dyDescent="0.35">
      <c r="B47" s="36"/>
      <c r="C47" s="41"/>
      <c r="D47" s="48">
        <f>C47*Data!$B$4</f>
        <v>0</v>
      </c>
      <c r="E47" s="49"/>
      <c r="F47" s="50" t="e">
        <f>(C47+D47)/(E47/Data!$B$3)</f>
        <v>#DIV/0!</v>
      </c>
      <c r="G47" s="41"/>
      <c r="H47" s="42"/>
      <c r="I47" s="41"/>
    </row>
    <row r="48" spans="2:9" x14ac:dyDescent="0.35">
      <c r="B48" s="36"/>
      <c r="C48" s="41"/>
      <c r="D48" s="48">
        <f>C48*Data!$B$4</f>
        <v>0</v>
      </c>
      <c r="E48" s="49"/>
      <c r="F48" s="50" t="e">
        <f>(C48+D48)/(E48/Data!$B$3)</f>
        <v>#DIV/0!</v>
      </c>
      <c r="G48" s="41"/>
      <c r="H48" s="42"/>
      <c r="I48" s="41"/>
    </row>
    <row r="49" spans="2:9" x14ac:dyDescent="0.35">
      <c r="B49" s="36"/>
      <c r="C49" s="41"/>
      <c r="D49" s="48">
        <f>C49*Data!$B$4</f>
        <v>0</v>
      </c>
      <c r="E49" s="49"/>
      <c r="F49" s="50" t="e">
        <f>(C49+D49)/(E49/Data!$B$3)</f>
        <v>#DIV/0!</v>
      </c>
      <c r="G49" s="41"/>
      <c r="H49" s="42"/>
      <c r="I49" s="41"/>
    </row>
    <row r="50" spans="2:9" x14ac:dyDescent="0.35">
      <c r="B50" s="36"/>
      <c r="C50" s="41"/>
      <c r="D50" s="48">
        <f>C50*Data!$B$4</f>
        <v>0</v>
      </c>
      <c r="E50" s="49"/>
      <c r="F50" s="50" t="e">
        <f>(C50+D50)/(E50/Data!$B$3)</f>
        <v>#DIV/0!</v>
      </c>
      <c r="G50" s="41"/>
      <c r="H50" s="42"/>
      <c r="I50" s="41"/>
    </row>
    <row r="51" spans="2:9" x14ac:dyDescent="0.35">
      <c r="B51" s="35"/>
      <c r="C51" s="35"/>
      <c r="D51" s="35"/>
      <c r="E51" s="35"/>
      <c r="F51" s="35"/>
      <c r="G51" s="35"/>
      <c r="H51" s="35"/>
      <c r="I51" s="35"/>
    </row>
    <row r="52" spans="2:9" x14ac:dyDescent="0.35">
      <c r="B52" s="35"/>
      <c r="C52" s="35"/>
      <c r="D52" s="35"/>
      <c r="E52" s="35"/>
      <c r="F52" s="35"/>
      <c r="G52" s="35"/>
      <c r="H52" s="35"/>
      <c r="I52" s="35"/>
    </row>
  </sheetData>
  <dataConsolidate function="varp"/>
  <mergeCells count="1">
    <mergeCell ref="B1:I1"/>
  </mergeCell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80716DE-F760-49A7-B958-2C66F0944B8D}">
          <x14:formula1>
            <xm:f>Data!$A$21:$A$22</xm:f>
          </x14:formula1>
          <xm:sqref>H3:H50</xm:sqref>
        </x14:dataValidation>
        <x14:dataValidation type="list" allowBlank="1" showInputMessage="1" showErrorMessage="1" xr:uid="{52E8C4D9-C618-4E91-89B4-A2384CB5B7EE}">
          <x14:formula1>
            <xm:f>Data!$A$27:$A$34</xm:f>
          </x14:formula1>
          <xm:sqref>I3:I50</xm:sqref>
        </x14:dataValidation>
        <x14:dataValidation type="list" allowBlank="1" showInputMessage="1" showErrorMessage="1" xr:uid="{4D6014CB-87BB-4303-9E84-AC04D8695B2F}">
          <x14:formula1>
            <xm:f>Data!$E$8:$E$11</xm:f>
          </x14:formula1>
          <xm:sqref>G3:G50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E10F-319E-4EA0-89DD-131FC4462279}">
  <dimension ref="B1:L50"/>
  <sheetViews>
    <sheetView showGridLines="0" zoomScale="130" zoomScaleNormal="130" workbookViewId="0">
      <pane ySplit="2" topLeftCell="A3" activePane="bottomLeft" state="frozen"/>
      <selection pane="bottomLeft" sqref="A1:XFD1"/>
    </sheetView>
  </sheetViews>
  <sheetFormatPr defaultColWidth="8.81640625" defaultRowHeight="14.5" x14ac:dyDescent="0.35"/>
  <cols>
    <col min="1" max="1" width="1.453125" customWidth="1"/>
    <col min="2" max="4" width="9.54296875" customWidth="1"/>
    <col min="5" max="5" width="13.453125" customWidth="1"/>
    <col min="6" max="6" width="12.453125" bestFit="1" customWidth="1"/>
    <col min="7" max="7" width="29.453125" customWidth="1"/>
    <col min="8" max="9" width="9.54296875" customWidth="1"/>
    <col min="12" max="12" width="13.81640625" customWidth="1"/>
  </cols>
  <sheetData>
    <row r="1" spans="2:12" ht="23.5" x14ac:dyDescent="0.55000000000000004">
      <c r="B1" s="61" t="s">
        <v>47</v>
      </c>
      <c r="C1" s="61"/>
      <c r="D1" s="61"/>
      <c r="E1" s="61"/>
      <c r="F1" s="61"/>
      <c r="G1" s="61"/>
      <c r="H1" s="61"/>
      <c r="I1" s="61"/>
    </row>
    <row r="2" spans="2:12" ht="29" x14ac:dyDescent="0.35"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3" t="s">
        <v>32</v>
      </c>
      <c r="H2" s="3" t="s">
        <v>33</v>
      </c>
      <c r="I2" s="3" t="s">
        <v>34</v>
      </c>
      <c r="K2" s="26"/>
      <c r="L2" s="2" t="s">
        <v>35</v>
      </c>
    </row>
    <row r="3" spans="2:12" x14ac:dyDescent="0.35">
      <c r="B3" s="36"/>
      <c r="C3" s="41"/>
      <c r="D3" s="48">
        <f>C3*Data!$B$4</f>
        <v>0</v>
      </c>
      <c r="E3" s="49"/>
      <c r="F3" s="50" t="e">
        <f>(C3+D3)/(E3/Data!$B$3)</f>
        <v>#DIV/0!</v>
      </c>
      <c r="G3" s="41"/>
      <c r="H3" s="42"/>
      <c r="I3" s="41"/>
    </row>
    <row r="4" spans="2:12" x14ac:dyDescent="0.35">
      <c r="B4" s="36"/>
      <c r="C4" s="41"/>
      <c r="D4" s="48">
        <f>C4*Data!$B$4</f>
        <v>0</v>
      </c>
      <c r="E4" s="49"/>
      <c r="F4" s="50" t="e">
        <f>(C4+D4)/(E4/Data!$B$3)</f>
        <v>#DIV/0!</v>
      </c>
      <c r="G4" s="41"/>
      <c r="H4" s="42"/>
      <c r="I4" s="41"/>
    </row>
    <row r="5" spans="2:12" x14ac:dyDescent="0.35">
      <c r="B5" s="36"/>
      <c r="C5" s="41"/>
      <c r="D5" s="48">
        <f>C5*Data!$B$4</f>
        <v>0</v>
      </c>
      <c r="E5" s="49"/>
      <c r="F5" s="50" t="e">
        <f>(C5+D5)/(E5/Data!$B$3)</f>
        <v>#DIV/0!</v>
      </c>
      <c r="G5" s="41"/>
      <c r="H5" s="42"/>
      <c r="I5" s="41"/>
    </row>
    <row r="6" spans="2:12" x14ac:dyDescent="0.35">
      <c r="B6" s="36"/>
      <c r="C6" s="41"/>
      <c r="D6" s="48">
        <f>C6*Data!$B$4</f>
        <v>0</v>
      </c>
      <c r="E6" s="49"/>
      <c r="F6" s="50" t="e">
        <f>(C6+D6)/(E6/Data!$B$3)</f>
        <v>#DIV/0!</v>
      </c>
      <c r="G6" s="41"/>
      <c r="H6" s="42"/>
      <c r="I6" s="41"/>
    </row>
    <row r="7" spans="2:12" x14ac:dyDescent="0.35">
      <c r="B7" s="36"/>
      <c r="C7" s="41"/>
      <c r="D7" s="48">
        <f>C7*Data!$B$4</f>
        <v>0</v>
      </c>
      <c r="E7" s="49"/>
      <c r="F7" s="50" t="e">
        <f>(C7+D7)/(E7/Data!$B$3)</f>
        <v>#DIV/0!</v>
      </c>
      <c r="G7" s="41"/>
      <c r="H7" s="42"/>
      <c r="I7" s="41"/>
    </row>
    <row r="8" spans="2:12" x14ac:dyDescent="0.35">
      <c r="B8" s="36"/>
      <c r="C8" s="41"/>
      <c r="D8" s="48">
        <f>C8*Data!$B$4</f>
        <v>0</v>
      </c>
      <c r="E8" s="49"/>
      <c r="F8" s="50" t="e">
        <f>(C8+D8)/(E8/Data!$B$3)</f>
        <v>#DIV/0!</v>
      </c>
      <c r="G8" s="41"/>
      <c r="H8" s="42"/>
      <c r="I8" s="41"/>
    </row>
    <row r="9" spans="2:12" x14ac:dyDescent="0.35">
      <c r="B9" s="36"/>
      <c r="C9" s="41"/>
      <c r="D9" s="48">
        <f>C9*Data!$B$4</f>
        <v>0</v>
      </c>
      <c r="E9" s="49"/>
      <c r="F9" s="50" t="e">
        <f>(C9+D9)/(E9/Data!$B$3)</f>
        <v>#DIV/0!</v>
      </c>
      <c r="G9" s="41"/>
      <c r="H9" s="42"/>
      <c r="I9" s="41"/>
    </row>
    <row r="10" spans="2:12" x14ac:dyDescent="0.35">
      <c r="B10" s="36"/>
      <c r="C10" s="41"/>
      <c r="D10" s="48">
        <f>C10*Data!$B$4</f>
        <v>0</v>
      </c>
      <c r="E10" s="49"/>
      <c r="F10" s="50" t="e">
        <f>(C10+D10)/(E10/Data!$B$3)</f>
        <v>#DIV/0!</v>
      </c>
      <c r="G10" s="41"/>
      <c r="H10" s="42"/>
      <c r="I10" s="41"/>
    </row>
    <row r="11" spans="2:12" x14ac:dyDescent="0.35">
      <c r="B11" s="36"/>
      <c r="C11" s="41"/>
      <c r="D11" s="48">
        <f>C11*Data!$B$4</f>
        <v>0</v>
      </c>
      <c r="E11" s="49"/>
      <c r="F11" s="50" t="e">
        <f>(C11+D11)/(E11/Data!$B$3)</f>
        <v>#DIV/0!</v>
      </c>
      <c r="G11" s="41"/>
      <c r="H11" s="42"/>
      <c r="I11" s="41"/>
    </row>
    <row r="12" spans="2:12" x14ac:dyDescent="0.35">
      <c r="B12" s="36"/>
      <c r="C12" s="41"/>
      <c r="D12" s="48">
        <f>C12*Data!$B$4</f>
        <v>0</v>
      </c>
      <c r="E12" s="49"/>
      <c r="F12" s="50" t="e">
        <f>(C12+D12)/(E12/Data!$B$3)</f>
        <v>#DIV/0!</v>
      </c>
      <c r="G12" s="41"/>
      <c r="H12" s="42"/>
      <c r="I12" s="41"/>
    </row>
    <row r="13" spans="2:12" x14ac:dyDescent="0.35">
      <c r="B13" s="36"/>
      <c r="C13" s="41"/>
      <c r="D13" s="48">
        <f>C13*Data!$B$4</f>
        <v>0</v>
      </c>
      <c r="E13" s="49"/>
      <c r="F13" s="50" t="e">
        <f>(C13+D13)/(E13/Data!$B$3)</f>
        <v>#DIV/0!</v>
      </c>
      <c r="G13" s="41"/>
      <c r="H13" s="42"/>
      <c r="I13" s="41"/>
    </row>
    <row r="14" spans="2:12" x14ac:dyDescent="0.35">
      <c r="B14" s="36"/>
      <c r="C14" s="41"/>
      <c r="D14" s="48">
        <f>C14*Data!$B$4</f>
        <v>0</v>
      </c>
      <c r="E14" s="49"/>
      <c r="F14" s="50" t="e">
        <f>(C14+D14)/(E14/Data!$B$3)</f>
        <v>#DIV/0!</v>
      </c>
      <c r="G14" s="41"/>
      <c r="H14" s="42"/>
      <c r="I14" s="41"/>
    </row>
    <row r="15" spans="2:12" x14ac:dyDescent="0.35">
      <c r="B15" s="36"/>
      <c r="C15" s="41"/>
      <c r="D15" s="48">
        <f>C15*Data!$B$4</f>
        <v>0</v>
      </c>
      <c r="E15" s="49"/>
      <c r="F15" s="50" t="e">
        <f>(C15+D15)/(E15/Data!$B$3)</f>
        <v>#DIV/0!</v>
      </c>
      <c r="G15" s="41"/>
      <c r="H15" s="42"/>
      <c r="I15" s="41"/>
    </row>
    <row r="16" spans="2:12" x14ac:dyDescent="0.35">
      <c r="B16" s="36"/>
      <c r="C16" s="41"/>
      <c r="D16" s="48">
        <f>C16*Data!$B$4</f>
        <v>0</v>
      </c>
      <c r="E16" s="49"/>
      <c r="F16" s="50" t="e">
        <f>(C16+D16)/(E16/Data!$B$3)</f>
        <v>#DIV/0!</v>
      </c>
      <c r="G16" s="41"/>
      <c r="H16" s="42"/>
      <c r="I16" s="41"/>
    </row>
    <row r="17" spans="2:9" x14ac:dyDescent="0.35">
      <c r="B17" s="36"/>
      <c r="C17" s="41"/>
      <c r="D17" s="48">
        <f>C17*Data!$B$4</f>
        <v>0</v>
      </c>
      <c r="E17" s="49"/>
      <c r="F17" s="50" t="e">
        <f>(C17+D17)/(E17/Data!$B$3)</f>
        <v>#DIV/0!</v>
      </c>
      <c r="G17" s="41"/>
      <c r="H17" s="42"/>
      <c r="I17" s="41"/>
    </row>
    <row r="18" spans="2:9" x14ac:dyDescent="0.35">
      <c r="B18" s="36"/>
      <c r="C18" s="41"/>
      <c r="D18" s="48">
        <f>C18*Data!$B$4</f>
        <v>0</v>
      </c>
      <c r="E18" s="49"/>
      <c r="F18" s="50" t="e">
        <f>(C18+D18)/(E18/Data!$B$3)</f>
        <v>#DIV/0!</v>
      </c>
      <c r="G18" s="41"/>
      <c r="H18" s="42"/>
      <c r="I18" s="41"/>
    </row>
    <row r="19" spans="2:9" x14ac:dyDescent="0.35">
      <c r="B19" s="36"/>
      <c r="C19" s="41"/>
      <c r="D19" s="48">
        <f>C19*Data!$B$4</f>
        <v>0</v>
      </c>
      <c r="E19" s="49"/>
      <c r="F19" s="50" t="e">
        <f>(C19+D19)/(E19/Data!$B$3)</f>
        <v>#DIV/0!</v>
      </c>
      <c r="G19" s="41"/>
      <c r="H19" s="42"/>
      <c r="I19" s="41"/>
    </row>
    <row r="20" spans="2:9" x14ac:dyDescent="0.35">
      <c r="B20" s="36"/>
      <c r="C20" s="41"/>
      <c r="D20" s="48">
        <f>C20*Data!$B$4</f>
        <v>0</v>
      </c>
      <c r="E20" s="49"/>
      <c r="F20" s="50" t="e">
        <f>(C20+D20)/(E20/Data!$B$3)</f>
        <v>#DIV/0!</v>
      </c>
      <c r="G20" s="41"/>
      <c r="H20" s="42"/>
      <c r="I20" s="41"/>
    </row>
    <row r="21" spans="2:9" x14ac:dyDescent="0.35">
      <c r="B21" s="36"/>
      <c r="C21" s="41"/>
      <c r="D21" s="48">
        <f>C21*Data!$B$4</f>
        <v>0</v>
      </c>
      <c r="E21" s="49"/>
      <c r="F21" s="50" t="e">
        <f>(C21+D21)/(E21/Data!$B$3)</f>
        <v>#DIV/0!</v>
      </c>
      <c r="G21" s="41"/>
      <c r="H21" s="42"/>
      <c r="I21" s="41"/>
    </row>
    <row r="22" spans="2:9" x14ac:dyDescent="0.35">
      <c r="B22" s="36"/>
      <c r="C22" s="41"/>
      <c r="D22" s="48">
        <f>C22*Data!$B$4</f>
        <v>0</v>
      </c>
      <c r="E22" s="49"/>
      <c r="F22" s="50" t="e">
        <f>(C22+D22)/(E22/Data!$B$3)</f>
        <v>#DIV/0!</v>
      </c>
      <c r="G22" s="41"/>
      <c r="H22" s="42"/>
      <c r="I22" s="41"/>
    </row>
    <row r="23" spans="2:9" x14ac:dyDescent="0.35">
      <c r="B23" s="36"/>
      <c r="C23" s="41"/>
      <c r="D23" s="48">
        <f>C23*Data!$B$4</f>
        <v>0</v>
      </c>
      <c r="E23" s="49"/>
      <c r="F23" s="50" t="e">
        <f>(C23+D23)/(E23/Data!$B$3)</f>
        <v>#DIV/0!</v>
      </c>
      <c r="G23" s="41"/>
      <c r="H23" s="42"/>
      <c r="I23" s="41"/>
    </row>
    <row r="24" spans="2:9" x14ac:dyDescent="0.35">
      <c r="B24" s="36"/>
      <c r="C24" s="41"/>
      <c r="D24" s="48">
        <f>C24*Data!$B$4</f>
        <v>0</v>
      </c>
      <c r="E24" s="49"/>
      <c r="F24" s="50" t="e">
        <f>(C24+D24)/(E24/Data!$B$3)</f>
        <v>#DIV/0!</v>
      </c>
      <c r="G24" s="41"/>
      <c r="H24" s="42"/>
      <c r="I24" s="41"/>
    </row>
    <row r="25" spans="2:9" x14ac:dyDescent="0.35">
      <c r="B25" s="36"/>
      <c r="C25" s="41"/>
      <c r="D25" s="48">
        <f>C25*Data!$B$4</f>
        <v>0</v>
      </c>
      <c r="E25" s="49"/>
      <c r="F25" s="50" t="e">
        <f>(C25+D25)/(E25/Data!$B$3)</f>
        <v>#DIV/0!</v>
      </c>
      <c r="G25" s="41"/>
      <c r="H25" s="42"/>
      <c r="I25" s="41"/>
    </row>
    <row r="26" spans="2:9" x14ac:dyDescent="0.35">
      <c r="B26" s="36"/>
      <c r="C26" s="41"/>
      <c r="D26" s="48">
        <f>C26*Data!$B$4</f>
        <v>0</v>
      </c>
      <c r="E26" s="49"/>
      <c r="F26" s="50" t="e">
        <f>(C26+D26)/(E26/Data!$B$3)</f>
        <v>#DIV/0!</v>
      </c>
      <c r="G26" s="41"/>
      <c r="H26" s="42"/>
      <c r="I26" s="41"/>
    </row>
    <row r="27" spans="2:9" x14ac:dyDescent="0.35">
      <c r="B27" s="36"/>
      <c r="C27" s="41"/>
      <c r="D27" s="48">
        <f>C27*Data!$B$4</f>
        <v>0</v>
      </c>
      <c r="E27" s="49"/>
      <c r="F27" s="50" t="e">
        <f>(C27+D27)/(E27/Data!$B$3)</f>
        <v>#DIV/0!</v>
      </c>
      <c r="G27" s="41"/>
      <c r="H27" s="42"/>
      <c r="I27" s="41"/>
    </row>
    <row r="28" spans="2:9" x14ac:dyDescent="0.35">
      <c r="B28" s="36"/>
      <c r="C28" s="41"/>
      <c r="D28" s="48">
        <f>C28*Data!$B$4</f>
        <v>0</v>
      </c>
      <c r="E28" s="49"/>
      <c r="F28" s="50" t="e">
        <f>(C28+D28)/(E28/Data!$B$3)</f>
        <v>#DIV/0!</v>
      </c>
      <c r="G28" s="41"/>
      <c r="H28" s="42"/>
      <c r="I28" s="41"/>
    </row>
    <row r="29" spans="2:9" x14ac:dyDescent="0.35">
      <c r="B29" s="36"/>
      <c r="C29" s="41"/>
      <c r="D29" s="48">
        <f>C29*Data!$B$4</f>
        <v>0</v>
      </c>
      <c r="E29" s="49"/>
      <c r="F29" s="50" t="e">
        <f>(C29+D29)/(E29/Data!$B$3)</f>
        <v>#DIV/0!</v>
      </c>
      <c r="G29" s="41"/>
      <c r="H29" s="42"/>
      <c r="I29" s="41"/>
    </row>
    <row r="30" spans="2:9" x14ac:dyDescent="0.35">
      <c r="B30" s="36"/>
      <c r="C30" s="41"/>
      <c r="D30" s="48">
        <f>C30*Data!$B$4</f>
        <v>0</v>
      </c>
      <c r="E30" s="49"/>
      <c r="F30" s="50" t="e">
        <f>(C30+D30)/(E30/Data!$B$3)</f>
        <v>#DIV/0!</v>
      </c>
      <c r="G30" s="41"/>
      <c r="H30" s="42"/>
      <c r="I30" s="41"/>
    </row>
    <row r="31" spans="2:9" x14ac:dyDescent="0.35">
      <c r="B31" s="36"/>
      <c r="C31" s="41"/>
      <c r="D31" s="48">
        <f>C31*Data!$B$4</f>
        <v>0</v>
      </c>
      <c r="E31" s="49"/>
      <c r="F31" s="50" t="e">
        <f>(C31+D31)/(E31/Data!$B$3)</f>
        <v>#DIV/0!</v>
      </c>
      <c r="G31" s="41"/>
      <c r="H31" s="42"/>
      <c r="I31" s="41"/>
    </row>
    <row r="32" spans="2:9" x14ac:dyDescent="0.35">
      <c r="B32" s="36"/>
      <c r="C32" s="41"/>
      <c r="D32" s="48">
        <f>C32*Data!$B$4</f>
        <v>0</v>
      </c>
      <c r="E32" s="49"/>
      <c r="F32" s="50" t="e">
        <f>(C32+D32)/(E32/Data!$B$3)</f>
        <v>#DIV/0!</v>
      </c>
      <c r="G32" s="41"/>
      <c r="H32" s="42"/>
      <c r="I32" s="41"/>
    </row>
    <row r="33" spans="2:9" x14ac:dyDescent="0.35">
      <c r="B33" s="36"/>
      <c r="C33" s="41"/>
      <c r="D33" s="48">
        <f>C33*Data!$B$4</f>
        <v>0</v>
      </c>
      <c r="E33" s="49"/>
      <c r="F33" s="50" t="e">
        <f>(C33+D33)/(E33/Data!$B$3)</f>
        <v>#DIV/0!</v>
      </c>
      <c r="G33" s="41"/>
      <c r="H33" s="42"/>
      <c r="I33" s="41"/>
    </row>
    <row r="34" spans="2:9" x14ac:dyDescent="0.35">
      <c r="B34" s="36"/>
      <c r="C34" s="41"/>
      <c r="D34" s="48">
        <f>C34*Data!$B$4</f>
        <v>0</v>
      </c>
      <c r="E34" s="49"/>
      <c r="F34" s="50" t="e">
        <f>(C34+D34)/(E34/Data!$B$3)</f>
        <v>#DIV/0!</v>
      </c>
      <c r="G34" s="41"/>
      <c r="H34" s="42"/>
      <c r="I34" s="41"/>
    </row>
    <row r="35" spans="2:9" x14ac:dyDescent="0.35">
      <c r="B35" s="36"/>
      <c r="C35" s="41"/>
      <c r="D35" s="48">
        <f>C35*Data!$B$4</f>
        <v>0</v>
      </c>
      <c r="E35" s="49"/>
      <c r="F35" s="50" t="e">
        <f>(C35+D35)/(E35/Data!$B$3)</f>
        <v>#DIV/0!</v>
      </c>
      <c r="G35" s="41"/>
      <c r="H35" s="42"/>
      <c r="I35" s="41"/>
    </row>
    <row r="36" spans="2:9" x14ac:dyDescent="0.35">
      <c r="B36" s="36"/>
      <c r="C36" s="41"/>
      <c r="D36" s="48">
        <f>C36*Data!$B$4</f>
        <v>0</v>
      </c>
      <c r="E36" s="49"/>
      <c r="F36" s="50" t="e">
        <f>(C36+D36)/(E36/Data!$B$3)</f>
        <v>#DIV/0!</v>
      </c>
      <c r="G36" s="41"/>
      <c r="H36" s="42"/>
      <c r="I36" s="41"/>
    </row>
    <row r="37" spans="2:9" x14ac:dyDescent="0.35">
      <c r="B37" s="36"/>
      <c r="C37" s="41"/>
      <c r="D37" s="48">
        <f>C37*Data!$B$4</f>
        <v>0</v>
      </c>
      <c r="E37" s="49"/>
      <c r="F37" s="50" t="e">
        <f>(C37+D37)/(E37/Data!$B$3)</f>
        <v>#DIV/0!</v>
      </c>
      <c r="G37" s="41"/>
      <c r="H37" s="42"/>
      <c r="I37" s="41"/>
    </row>
    <row r="38" spans="2:9" x14ac:dyDescent="0.35">
      <c r="B38" s="36"/>
      <c r="C38" s="41"/>
      <c r="D38" s="48">
        <f>C38*Data!$B$4</f>
        <v>0</v>
      </c>
      <c r="E38" s="49"/>
      <c r="F38" s="50" t="e">
        <f>(C38+D38)/(E38/Data!$B$3)</f>
        <v>#DIV/0!</v>
      </c>
      <c r="G38" s="41"/>
      <c r="H38" s="42"/>
      <c r="I38" s="41"/>
    </row>
    <row r="39" spans="2:9" x14ac:dyDescent="0.35">
      <c r="B39" s="36"/>
      <c r="C39" s="41"/>
      <c r="D39" s="48">
        <f>C39*Data!$B$4</f>
        <v>0</v>
      </c>
      <c r="E39" s="49"/>
      <c r="F39" s="50" t="e">
        <f>(C39+D39)/(E39/Data!$B$3)</f>
        <v>#DIV/0!</v>
      </c>
      <c r="G39" s="41"/>
      <c r="H39" s="42"/>
      <c r="I39" s="41"/>
    </row>
    <row r="40" spans="2:9" x14ac:dyDescent="0.35">
      <c r="B40" s="36"/>
      <c r="C40" s="41"/>
      <c r="D40" s="48">
        <f>C40*Data!$B$4</f>
        <v>0</v>
      </c>
      <c r="E40" s="49"/>
      <c r="F40" s="50" t="e">
        <f>(C40+D40)/(E40/Data!$B$3)</f>
        <v>#DIV/0!</v>
      </c>
      <c r="G40" s="41"/>
      <c r="H40" s="42"/>
      <c r="I40" s="41"/>
    </row>
    <row r="41" spans="2:9" x14ac:dyDescent="0.35">
      <c r="B41" s="36"/>
      <c r="C41" s="41"/>
      <c r="D41" s="48">
        <f>C41*Data!$B$4</f>
        <v>0</v>
      </c>
      <c r="E41" s="49"/>
      <c r="F41" s="50" t="e">
        <f>(C41+D41)/(E41/Data!$B$3)</f>
        <v>#DIV/0!</v>
      </c>
      <c r="G41" s="41"/>
      <c r="H41" s="42"/>
      <c r="I41" s="41"/>
    </row>
    <row r="42" spans="2:9" x14ac:dyDescent="0.35">
      <c r="B42" s="36"/>
      <c r="C42" s="41"/>
      <c r="D42" s="48">
        <f>C42*Data!$B$4</f>
        <v>0</v>
      </c>
      <c r="E42" s="49"/>
      <c r="F42" s="50" t="e">
        <f>(C42+D42)/(E42/Data!$B$3)</f>
        <v>#DIV/0!</v>
      </c>
      <c r="G42" s="41"/>
      <c r="H42" s="42"/>
      <c r="I42" s="41"/>
    </row>
    <row r="43" spans="2:9" x14ac:dyDescent="0.35">
      <c r="B43" s="36"/>
      <c r="C43" s="41"/>
      <c r="D43" s="48">
        <f>C43*Data!$B$4</f>
        <v>0</v>
      </c>
      <c r="E43" s="49"/>
      <c r="F43" s="50" t="e">
        <f>(C43+D43)/(E43/Data!$B$3)</f>
        <v>#DIV/0!</v>
      </c>
      <c r="G43" s="41"/>
      <c r="H43" s="42"/>
      <c r="I43" s="41"/>
    </row>
    <row r="44" spans="2:9" x14ac:dyDescent="0.35">
      <c r="B44" s="36"/>
      <c r="C44" s="41"/>
      <c r="D44" s="48">
        <f>C44*Data!$B$4</f>
        <v>0</v>
      </c>
      <c r="E44" s="49"/>
      <c r="F44" s="50" t="e">
        <f>(C44+D44)/(E44/Data!$B$3)</f>
        <v>#DIV/0!</v>
      </c>
      <c r="G44" s="41"/>
      <c r="H44" s="42"/>
      <c r="I44" s="41"/>
    </row>
    <row r="45" spans="2:9" x14ac:dyDescent="0.35">
      <c r="B45" s="36"/>
      <c r="C45" s="41"/>
      <c r="D45" s="48">
        <f>C45*Data!$B$4</f>
        <v>0</v>
      </c>
      <c r="E45" s="49"/>
      <c r="F45" s="50" t="e">
        <f>(C45+D45)/(E45/Data!$B$3)</f>
        <v>#DIV/0!</v>
      </c>
      <c r="G45" s="41"/>
      <c r="H45" s="42"/>
      <c r="I45" s="41"/>
    </row>
    <row r="46" spans="2:9" x14ac:dyDescent="0.35">
      <c r="B46" s="36"/>
      <c r="C46" s="41"/>
      <c r="D46" s="48">
        <f>C46*Data!$B$4</f>
        <v>0</v>
      </c>
      <c r="E46" s="49"/>
      <c r="F46" s="50" t="e">
        <f>(C46+D46)/(E46/Data!$B$3)</f>
        <v>#DIV/0!</v>
      </c>
      <c r="G46" s="41"/>
      <c r="H46" s="42"/>
      <c r="I46" s="41"/>
    </row>
    <row r="47" spans="2:9" x14ac:dyDescent="0.35">
      <c r="B47" s="36"/>
      <c r="C47" s="41"/>
      <c r="D47" s="48">
        <f>C47*Data!$B$4</f>
        <v>0</v>
      </c>
      <c r="E47" s="49"/>
      <c r="F47" s="50" t="e">
        <f>(C47+D47)/(E47/Data!$B$3)</f>
        <v>#DIV/0!</v>
      </c>
      <c r="G47" s="41"/>
      <c r="H47" s="42"/>
      <c r="I47" s="41"/>
    </row>
    <row r="48" spans="2:9" x14ac:dyDescent="0.35">
      <c r="B48" s="36"/>
      <c r="C48" s="41"/>
      <c r="D48" s="48">
        <f>C48*Data!$B$4</f>
        <v>0</v>
      </c>
      <c r="E48" s="49"/>
      <c r="F48" s="50" t="e">
        <f>(C48+D48)/(E48/Data!$B$3)</f>
        <v>#DIV/0!</v>
      </c>
      <c r="G48" s="41"/>
      <c r="H48" s="42"/>
      <c r="I48" s="41"/>
    </row>
    <row r="49" spans="2:9" x14ac:dyDescent="0.35">
      <c r="B49" s="36"/>
      <c r="C49" s="41"/>
      <c r="D49" s="48">
        <f>C49*Data!$B$4</f>
        <v>0</v>
      </c>
      <c r="E49" s="49"/>
      <c r="F49" s="50" t="e">
        <f>(C49+D49)/(E49/Data!$B$3)</f>
        <v>#DIV/0!</v>
      </c>
      <c r="G49" s="41"/>
      <c r="H49" s="42"/>
      <c r="I49" s="41"/>
    </row>
    <row r="50" spans="2:9" x14ac:dyDescent="0.35">
      <c r="B50" s="27"/>
      <c r="C50" s="51"/>
      <c r="D50" s="52">
        <f>C50*Data!$B$4</f>
        <v>0</v>
      </c>
      <c r="E50" s="53"/>
      <c r="F50" s="54" t="e">
        <f>(C50+D50)/(E50/Data!$B$3)</f>
        <v>#DIV/0!</v>
      </c>
      <c r="G50" s="51"/>
      <c r="H50" s="55"/>
      <c r="I50" s="51"/>
    </row>
  </sheetData>
  <dataConsolidate function="varp"/>
  <mergeCells count="1">
    <mergeCell ref="B1:I1"/>
  </mergeCell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5B6F3CF-083F-466B-9BCC-660D7153FFDE}">
          <x14:formula1>
            <xm:f>Data!$G$8:$G$19</xm:f>
          </x14:formula1>
          <xm:sqref>G3:G50</xm:sqref>
        </x14:dataValidation>
        <x14:dataValidation type="list" allowBlank="1" showInputMessage="1" showErrorMessage="1" xr:uid="{69073C6E-6E4C-45D0-BE1B-1960778F735C}">
          <x14:formula1>
            <xm:f>Data!$A$27:$A$34</xm:f>
          </x14:formula1>
          <xm:sqref>I3:I50</xm:sqref>
        </x14:dataValidation>
        <x14:dataValidation type="list" allowBlank="1" showInputMessage="1" showErrorMessage="1" xr:uid="{EE383F97-9F4E-46C0-AD24-1F92D84CAF09}">
          <x14:formula1>
            <xm:f>Data!$A$21:$A$22</xm:f>
          </x14:formula1>
          <xm:sqref>H3:H50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FB39-9410-49BC-AA91-3C1779CEF72B}">
  <dimension ref="B1:J50"/>
  <sheetViews>
    <sheetView zoomScale="130" zoomScaleNormal="130" workbookViewId="0">
      <selection activeCell="D5" sqref="D5"/>
    </sheetView>
  </sheetViews>
  <sheetFormatPr defaultColWidth="8.81640625" defaultRowHeight="14.5" x14ac:dyDescent="0.35"/>
  <cols>
    <col min="1" max="1" width="1.453125" customWidth="1"/>
    <col min="2" max="4" width="9.54296875" customWidth="1"/>
    <col min="5" max="5" width="13.453125" customWidth="1"/>
    <col min="6" max="6" width="12.453125" bestFit="1" customWidth="1"/>
    <col min="7" max="7" width="9.54296875" customWidth="1"/>
    <col min="10" max="10" width="13.81640625" customWidth="1"/>
  </cols>
  <sheetData>
    <row r="1" spans="2:10" ht="23.5" x14ac:dyDescent="0.55000000000000004">
      <c r="B1" s="61" t="s">
        <v>48</v>
      </c>
      <c r="C1" s="61"/>
      <c r="D1" s="61"/>
      <c r="E1" s="61"/>
      <c r="F1" s="61"/>
      <c r="G1" s="61"/>
    </row>
    <row r="2" spans="2:10" ht="29" x14ac:dyDescent="0.35">
      <c r="B2" s="3" t="s">
        <v>27</v>
      </c>
      <c r="C2" s="3" t="s">
        <v>49</v>
      </c>
      <c r="D2" s="3" t="s">
        <v>29</v>
      </c>
      <c r="E2" s="3" t="s">
        <v>30</v>
      </c>
      <c r="F2" s="3" t="s">
        <v>31</v>
      </c>
      <c r="G2" s="3" t="s">
        <v>34</v>
      </c>
      <c r="I2" s="26"/>
      <c r="J2" s="2" t="s">
        <v>35</v>
      </c>
    </row>
    <row r="3" spans="2:10" x14ac:dyDescent="0.35">
      <c r="B3" s="36">
        <v>354</v>
      </c>
      <c r="C3" s="41">
        <v>40</v>
      </c>
      <c r="D3" s="48">
        <f>C3*Data!$B$4</f>
        <v>4.8</v>
      </c>
      <c r="E3" s="49">
        <v>30.4</v>
      </c>
      <c r="F3" s="50">
        <f>((C3+D3)*E3*52)/(Table112[[#This Row],[Hours worked/week]]/Data!$B$3)</f>
        <v>88524.800000000003</v>
      </c>
      <c r="G3" s="41" t="s">
        <v>38</v>
      </c>
    </row>
    <row r="4" spans="2:10" x14ac:dyDescent="0.35">
      <c r="B4" s="36">
        <v>123</v>
      </c>
      <c r="C4" s="41">
        <v>35</v>
      </c>
      <c r="D4" s="48">
        <f>C4*Data!$B$4</f>
        <v>4.2</v>
      </c>
      <c r="E4" s="49">
        <v>32</v>
      </c>
      <c r="F4" s="50">
        <f>((C4+D4)*E4*52)/(Table112[[#This Row],[Hours worked/week]]/Data!$B$3)</f>
        <v>77459.200000000012</v>
      </c>
      <c r="G4" s="41" t="s">
        <v>38</v>
      </c>
    </row>
    <row r="5" spans="2:10" x14ac:dyDescent="0.35">
      <c r="B5" s="36">
        <v>124</v>
      </c>
      <c r="C5" s="41">
        <v>30</v>
      </c>
      <c r="D5" s="48">
        <f>C5*Data!$B$4</f>
        <v>3.5999999999999996</v>
      </c>
      <c r="E5" s="49">
        <v>25</v>
      </c>
      <c r="F5" s="50">
        <f>((C5+D5)*E5*52)/(Table112[[#This Row],[Hours worked/week]]/Data!$B$3)</f>
        <v>66393.599999999991</v>
      </c>
      <c r="G5" s="41" t="s">
        <v>38</v>
      </c>
    </row>
    <row r="6" spans="2:10" x14ac:dyDescent="0.35">
      <c r="B6" s="36"/>
      <c r="C6" s="41"/>
      <c r="D6" s="48">
        <f>C6*Data!$B$4</f>
        <v>0</v>
      </c>
      <c r="E6" s="49"/>
      <c r="F6" s="50" t="e">
        <f>((C6+D6)*E6*52)/(Table112[[#This Row],[Hours worked/week]]/Data!$B$3)</f>
        <v>#DIV/0!</v>
      </c>
      <c r="G6" s="41"/>
    </row>
    <row r="7" spans="2:10" x14ac:dyDescent="0.35">
      <c r="B7" s="36"/>
      <c r="C7" s="41"/>
      <c r="D7" s="48">
        <f>C7*Data!$B$4</f>
        <v>0</v>
      </c>
      <c r="E7" s="49"/>
      <c r="F7" s="50" t="e">
        <f>((C7+D7)*E7*52)/(Table112[[#This Row],[Hours worked/week]]/Data!$B$3)</f>
        <v>#DIV/0!</v>
      </c>
      <c r="G7" s="41"/>
    </row>
    <row r="8" spans="2:10" x14ac:dyDescent="0.35">
      <c r="B8" s="36"/>
      <c r="C8" s="41"/>
      <c r="D8" s="48">
        <f>C8*Data!$B$4</f>
        <v>0</v>
      </c>
      <c r="E8" s="49"/>
      <c r="F8" s="50" t="e">
        <f>((C8+D8)*E8*52)/(Table112[[#This Row],[Hours worked/week]]/Data!$B$3)</f>
        <v>#DIV/0!</v>
      </c>
      <c r="G8" s="41"/>
    </row>
    <row r="9" spans="2:10" x14ac:dyDescent="0.35">
      <c r="B9" s="36"/>
      <c r="C9" s="41"/>
      <c r="D9" s="48">
        <f>C9*Data!$B$4</f>
        <v>0</v>
      </c>
      <c r="E9" s="49"/>
      <c r="F9" s="50" t="e">
        <f>((C9+D9)*E9*52)/(Table112[[#This Row],[Hours worked/week]]/Data!$B$3)</f>
        <v>#DIV/0!</v>
      </c>
      <c r="G9" s="41"/>
    </row>
    <row r="10" spans="2:10" x14ac:dyDescent="0.35">
      <c r="B10" s="36"/>
      <c r="C10" s="41"/>
      <c r="D10" s="48">
        <f>C10*Data!$B$4</f>
        <v>0</v>
      </c>
      <c r="E10" s="49"/>
      <c r="F10" s="50" t="e">
        <f>((C10+D10)*E10*52)/(Table112[[#This Row],[Hours worked/week]]/Data!$B$3)</f>
        <v>#DIV/0!</v>
      </c>
      <c r="G10" s="41"/>
    </row>
    <row r="11" spans="2:10" x14ac:dyDescent="0.35">
      <c r="B11" s="36"/>
      <c r="C11" s="41"/>
      <c r="D11" s="48">
        <f>C11*Data!$B$4</f>
        <v>0</v>
      </c>
      <c r="E11" s="49"/>
      <c r="F11" s="50" t="e">
        <f>((C11+D11)*E11*52)/(Table112[[#This Row],[Hours worked/week]]/Data!$B$3)</f>
        <v>#DIV/0!</v>
      </c>
      <c r="G11" s="41"/>
    </row>
    <row r="12" spans="2:10" x14ac:dyDescent="0.35">
      <c r="B12" s="36"/>
      <c r="C12" s="41"/>
      <c r="D12" s="48">
        <f>C12*Data!$B$4</f>
        <v>0</v>
      </c>
      <c r="E12" s="49"/>
      <c r="F12" s="50" t="e">
        <f>((C12+D12)*E12*52)/(Table112[[#This Row],[Hours worked/week]]/Data!$B$3)</f>
        <v>#DIV/0!</v>
      </c>
      <c r="G12" s="41"/>
    </row>
    <row r="13" spans="2:10" x14ac:dyDescent="0.35">
      <c r="B13" s="36"/>
      <c r="C13" s="41"/>
      <c r="D13" s="48">
        <f>C13*Data!$B$4</f>
        <v>0</v>
      </c>
      <c r="E13" s="49"/>
      <c r="F13" s="50" t="e">
        <f>((C13+D13)*E13*52)/(Table112[[#This Row],[Hours worked/week]]/Data!$B$3)</f>
        <v>#DIV/0!</v>
      </c>
      <c r="G13" s="41"/>
    </row>
    <row r="14" spans="2:10" x14ac:dyDescent="0.35">
      <c r="B14" s="36"/>
      <c r="C14" s="41"/>
      <c r="D14" s="48">
        <f>C14*Data!$B$4</f>
        <v>0</v>
      </c>
      <c r="E14" s="49"/>
      <c r="F14" s="50" t="e">
        <f>((C14+D14)*E14*52)/(Table112[[#This Row],[Hours worked/week]]/Data!$B$3)</f>
        <v>#DIV/0!</v>
      </c>
      <c r="G14" s="41"/>
    </row>
    <row r="15" spans="2:10" x14ac:dyDescent="0.35">
      <c r="B15" s="36"/>
      <c r="C15" s="41"/>
      <c r="D15" s="48">
        <f>C15*Data!$B$4</f>
        <v>0</v>
      </c>
      <c r="E15" s="49"/>
      <c r="F15" s="50" t="e">
        <f>((C15+D15)*E15*52)/(Table112[[#This Row],[Hours worked/week]]/Data!$B$3)</f>
        <v>#DIV/0!</v>
      </c>
      <c r="G15" s="41"/>
    </row>
    <row r="16" spans="2:10" x14ac:dyDescent="0.35">
      <c r="B16" s="36"/>
      <c r="C16" s="41"/>
      <c r="D16" s="48">
        <f>C16*Data!$B$4</f>
        <v>0</v>
      </c>
      <c r="E16" s="49"/>
      <c r="F16" s="50" t="e">
        <f>((C16+D16)*E16*52)/(Table112[[#This Row],[Hours worked/week]]/Data!$B$3)</f>
        <v>#DIV/0!</v>
      </c>
      <c r="G16" s="41"/>
    </row>
    <row r="17" spans="2:7" x14ac:dyDescent="0.35">
      <c r="B17" s="36"/>
      <c r="C17" s="41"/>
      <c r="D17" s="48">
        <f>C17*Data!$B$4</f>
        <v>0</v>
      </c>
      <c r="E17" s="49"/>
      <c r="F17" s="50" t="e">
        <f>((C17+D17)*E17*52)/(Table112[[#This Row],[Hours worked/week]]/Data!$B$3)</f>
        <v>#DIV/0!</v>
      </c>
      <c r="G17" s="41"/>
    </row>
    <row r="18" spans="2:7" x14ac:dyDescent="0.35">
      <c r="B18" s="36"/>
      <c r="C18" s="41"/>
      <c r="D18" s="48">
        <f>C18*Data!$B$4</f>
        <v>0</v>
      </c>
      <c r="E18" s="49"/>
      <c r="F18" s="50" t="e">
        <f>((C18+D18)*E18*52)/(Table112[[#This Row],[Hours worked/week]]/Data!$B$3)</f>
        <v>#DIV/0!</v>
      </c>
      <c r="G18" s="41"/>
    </row>
    <row r="19" spans="2:7" x14ac:dyDescent="0.35">
      <c r="B19" s="36"/>
      <c r="C19" s="41"/>
      <c r="D19" s="48">
        <f>C19*Data!$B$4</f>
        <v>0</v>
      </c>
      <c r="E19" s="49"/>
      <c r="F19" s="50" t="e">
        <f>((C19+D19)*E19*52)/(Table112[[#This Row],[Hours worked/week]]/Data!$B$3)</f>
        <v>#DIV/0!</v>
      </c>
      <c r="G19" s="41"/>
    </row>
    <row r="20" spans="2:7" x14ac:dyDescent="0.35">
      <c r="B20" s="36"/>
      <c r="C20" s="41"/>
      <c r="D20" s="48">
        <f>C20*Data!$B$4</f>
        <v>0</v>
      </c>
      <c r="E20" s="49"/>
      <c r="F20" s="50" t="e">
        <f>((C20+D20)*E20*52)/(Table112[[#This Row],[Hours worked/week]]/Data!$B$3)</f>
        <v>#DIV/0!</v>
      </c>
      <c r="G20" s="41"/>
    </row>
    <row r="21" spans="2:7" x14ac:dyDescent="0.35">
      <c r="B21" s="36"/>
      <c r="C21" s="41"/>
      <c r="D21" s="48">
        <f>C21*Data!$B$4</f>
        <v>0</v>
      </c>
      <c r="E21" s="49"/>
      <c r="F21" s="50" t="e">
        <f>((C21+D21)*E21*52)/(Table112[[#This Row],[Hours worked/week]]/Data!$B$3)</f>
        <v>#DIV/0!</v>
      </c>
      <c r="G21" s="41"/>
    </row>
    <row r="22" spans="2:7" x14ac:dyDescent="0.35">
      <c r="B22" s="36"/>
      <c r="C22" s="41"/>
      <c r="D22" s="48">
        <f>C22*Data!$B$4</f>
        <v>0</v>
      </c>
      <c r="E22" s="49"/>
      <c r="F22" s="50" t="e">
        <f>((C22+D22)*E22*52)/(Table112[[#This Row],[Hours worked/week]]/Data!$B$3)</f>
        <v>#DIV/0!</v>
      </c>
      <c r="G22" s="41"/>
    </row>
    <row r="23" spans="2:7" x14ac:dyDescent="0.35">
      <c r="B23" s="36"/>
      <c r="C23" s="41"/>
      <c r="D23" s="48">
        <f>C23*Data!$B$4</f>
        <v>0</v>
      </c>
      <c r="E23" s="49"/>
      <c r="F23" s="50" t="e">
        <f>((C23+D23)*E23*52)/(Table112[[#This Row],[Hours worked/week]]/Data!$B$3)</f>
        <v>#DIV/0!</v>
      </c>
      <c r="G23" s="41"/>
    </row>
    <row r="24" spans="2:7" x14ac:dyDescent="0.35">
      <c r="B24" s="36"/>
      <c r="C24" s="41"/>
      <c r="D24" s="48">
        <f>C24*Data!$B$4</f>
        <v>0</v>
      </c>
      <c r="E24" s="49"/>
      <c r="F24" s="50" t="e">
        <f>((C24+D24)*E24*52)/(Table112[[#This Row],[Hours worked/week]]/Data!$B$3)</f>
        <v>#DIV/0!</v>
      </c>
      <c r="G24" s="41"/>
    </row>
    <row r="25" spans="2:7" x14ac:dyDescent="0.35">
      <c r="B25" s="36"/>
      <c r="C25" s="41"/>
      <c r="D25" s="48">
        <f>C25*Data!$B$4</f>
        <v>0</v>
      </c>
      <c r="E25" s="49"/>
      <c r="F25" s="50" t="e">
        <f>((C25+D25)*E25*52)/(Table112[[#This Row],[Hours worked/week]]/Data!$B$3)</f>
        <v>#DIV/0!</v>
      </c>
      <c r="G25" s="41"/>
    </row>
    <row r="26" spans="2:7" x14ac:dyDescent="0.35">
      <c r="B26" s="36"/>
      <c r="C26" s="41"/>
      <c r="D26" s="48">
        <f>C26*Data!$B$4</f>
        <v>0</v>
      </c>
      <c r="E26" s="49"/>
      <c r="F26" s="50" t="e">
        <f>((C26+D26)*E26*52)/(Table112[[#This Row],[Hours worked/week]]/Data!$B$3)</f>
        <v>#DIV/0!</v>
      </c>
      <c r="G26" s="41"/>
    </row>
    <row r="27" spans="2:7" x14ac:dyDescent="0.35">
      <c r="B27" s="36"/>
      <c r="C27" s="41"/>
      <c r="D27" s="48">
        <f>C27*Data!$B$4</f>
        <v>0</v>
      </c>
      <c r="E27" s="49"/>
      <c r="F27" s="50" t="e">
        <f>((C27+D27)*E27*52)/(Table112[[#This Row],[Hours worked/week]]/Data!$B$3)</f>
        <v>#DIV/0!</v>
      </c>
      <c r="G27" s="41"/>
    </row>
    <row r="28" spans="2:7" x14ac:dyDescent="0.35">
      <c r="B28" s="36"/>
      <c r="C28" s="41"/>
      <c r="D28" s="48">
        <f>C28*Data!$B$4</f>
        <v>0</v>
      </c>
      <c r="E28" s="49"/>
      <c r="F28" s="50" t="e">
        <f>((C28+D28)*E28*52)/(Table112[[#This Row],[Hours worked/week]]/Data!$B$3)</f>
        <v>#DIV/0!</v>
      </c>
      <c r="G28" s="41"/>
    </row>
    <row r="29" spans="2:7" x14ac:dyDescent="0.35">
      <c r="B29" s="36"/>
      <c r="C29" s="41"/>
      <c r="D29" s="48">
        <f>C29*Data!$B$4</f>
        <v>0</v>
      </c>
      <c r="E29" s="49"/>
      <c r="F29" s="50" t="e">
        <f>((C29+D29)*E29*52)/(Table112[[#This Row],[Hours worked/week]]/Data!$B$3)</f>
        <v>#DIV/0!</v>
      </c>
      <c r="G29" s="41"/>
    </row>
    <row r="30" spans="2:7" x14ac:dyDescent="0.35">
      <c r="B30" s="36"/>
      <c r="C30" s="41"/>
      <c r="D30" s="48">
        <f>C30*Data!$B$4</f>
        <v>0</v>
      </c>
      <c r="E30" s="49"/>
      <c r="F30" s="50" t="e">
        <f>((C30+D30)*E30*52)/(Table112[[#This Row],[Hours worked/week]]/Data!$B$3)</f>
        <v>#DIV/0!</v>
      </c>
      <c r="G30" s="41"/>
    </row>
    <row r="31" spans="2:7" x14ac:dyDescent="0.35">
      <c r="B31" s="36"/>
      <c r="C31" s="41"/>
      <c r="D31" s="48">
        <f>C31*Data!$B$4</f>
        <v>0</v>
      </c>
      <c r="E31" s="49"/>
      <c r="F31" s="50" t="e">
        <f>((C31+D31)*E31*52)/(Table112[[#This Row],[Hours worked/week]]/Data!$B$3)</f>
        <v>#DIV/0!</v>
      </c>
      <c r="G31" s="41"/>
    </row>
    <row r="32" spans="2:7" x14ac:dyDescent="0.35">
      <c r="B32" s="36"/>
      <c r="C32" s="41"/>
      <c r="D32" s="48">
        <f>C32*Data!$B$4</f>
        <v>0</v>
      </c>
      <c r="E32" s="49"/>
      <c r="F32" s="50" t="e">
        <f>((C32+D32)*E32*52)/(Table112[[#This Row],[Hours worked/week]]/Data!$B$3)</f>
        <v>#DIV/0!</v>
      </c>
      <c r="G32" s="41"/>
    </row>
    <row r="33" spans="2:7" x14ac:dyDescent="0.35">
      <c r="B33" s="36"/>
      <c r="C33" s="41"/>
      <c r="D33" s="48">
        <f>C33*Data!$B$4</f>
        <v>0</v>
      </c>
      <c r="E33" s="49"/>
      <c r="F33" s="50" t="e">
        <f>((C33+D33)*E33*52)/(Table112[[#This Row],[Hours worked/week]]/Data!$B$3)</f>
        <v>#DIV/0!</v>
      </c>
      <c r="G33" s="41"/>
    </row>
    <row r="34" spans="2:7" x14ac:dyDescent="0.35">
      <c r="B34" s="36"/>
      <c r="C34" s="41"/>
      <c r="D34" s="48">
        <f>C34*Data!$B$4</f>
        <v>0</v>
      </c>
      <c r="E34" s="49"/>
      <c r="F34" s="50" t="e">
        <f>((C34+D34)*E34*52)/(Table112[[#This Row],[Hours worked/week]]/Data!$B$3)</f>
        <v>#DIV/0!</v>
      </c>
      <c r="G34" s="41"/>
    </row>
    <row r="35" spans="2:7" x14ac:dyDescent="0.35">
      <c r="B35" s="36"/>
      <c r="C35" s="41"/>
      <c r="D35" s="48">
        <f>C35*Data!$B$4</f>
        <v>0</v>
      </c>
      <c r="E35" s="49"/>
      <c r="F35" s="50" t="e">
        <f>((C35+D35)*E35*52)/(Table112[[#This Row],[Hours worked/week]]/Data!$B$3)</f>
        <v>#DIV/0!</v>
      </c>
      <c r="G35" s="41"/>
    </row>
    <row r="36" spans="2:7" x14ac:dyDescent="0.35">
      <c r="B36" s="36"/>
      <c r="C36" s="41"/>
      <c r="D36" s="48">
        <f>C36*Data!$B$4</f>
        <v>0</v>
      </c>
      <c r="E36" s="49"/>
      <c r="F36" s="50" t="e">
        <f>((C36+D36)*E36*52)/(Table112[[#This Row],[Hours worked/week]]/Data!$B$3)</f>
        <v>#DIV/0!</v>
      </c>
      <c r="G36" s="41"/>
    </row>
    <row r="37" spans="2:7" x14ac:dyDescent="0.35">
      <c r="B37" s="36"/>
      <c r="C37" s="41"/>
      <c r="D37" s="48">
        <f>C37*Data!$B$4</f>
        <v>0</v>
      </c>
      <c r="E37" s="49"/>
      <c r="F37" s="50" t="e">
        <f>((C37+D37)*E37*52)/(Table112[[#This Row],[Hours worked/week]]/Data!$B$3)</f>
        <v>#DIV/0!</v>
      </c>
      <c r="G37" s="41"/>
    </row>
    <row r="38" spans="2:7" x14ac:dyDescent="0.35">
      <c r="B38" s="36"/>
      <c r="C38" s="41"/>
      <c r="D38" s="48">
        <f>C38*Data!$B$4</f>
        <v>0</v>
      </c>
      <c r="E38" s="49"/>
      <c r="F38" s="50" t="e">
        <f>((C38+D38)*E38*52)/(Table112[[#This Row],[Hours worked/week]]/Data!$B$3)</f>
        <v>#DIV/0!</v>
      </c>
      <c r="G38" s="41"/>
    </row>
    <row r="39" spans="2:7" x14ac:dyDescent="0.35">
      <c r="B39" s="36"/>
      <c r="C39" s="41"/>
      <c r="D39" s="48">
        <f>C39*Data!$B$4</f>
        <v>0</v>
      </c>
      <c r="E39" s="49"/>
      <c r="F39" s="50" t="e">
        <f>((C39+D39)*E39*52)/(Table112[[#This Row],[Hours worked/week]]/Data!$B$3)</f>
        <v>#DIV/0!</v>
      </c>
      <c r="G39" s="41"/>
    </row>
    <row r="40" spans="2:7" x14ac:dyDescent="0.35">
      <c r="B40" s="36"/>
      <c r="C40" s="41"/>
      <c r="D40" s="48">
        <f>C40*Data!$B$4</f>
        <v>0</v>
      </c>
      <c r="E40" s="49"/>
      <c r="F40" s="50" t="e">
        <f>((C40+D40)*E40*52)/(Table112[[#This Row],[Hours worked/week]]/Data!$B$3)</f>
        <v>#DIV/0!</v>
      </c>
      <c r="G40" s="41"/>
    </row>
    <row r="41" spans="2:7" x14ac:dyDescent="0.35">
      <c r="B41" s="36"/>
      <c r="C41" s="41"/>
      <c r="D41" s="48">
        <f>C41*Data!$B$4</f>
        <v>0</v>
      </c>
      <c r="E41" s="49"/>
      <c r="F41" s="50" t="e">
        <f>((C41+D41)*E41*52)/(Table112[[#This Row],[Hours worked/week]]/Data!$B$3)</f>
        <v>#DIV/0!</v>
      </c>
      <c r="G41" s="41"/>
    </row>
    <row r="42" spans="2:7" x14ac:dyDescent="0.35">
      <c r="B42" s="36"/>
      <c r="C42" s="41"/>
      <c r="D42" s="48">
        <f>C42*Data!$B$4</f>
        <v>0</v>
      </c>
      <c r="E42" s="49"/>
      <c r="F42" s="50" t="e">
        <f>((C42+D42)*E42*52)/(Table112[[#This Row],[Hours worked/week]]/Data!$B$3)</f>
        <v>#DIV/0!</v>
      </c>
      <c r="G42" s="41"/>
    </row>
    <row r="43" spans="2:7" x14ac:dyDescent="0.35">
      <c r="B43" s="36"/>
      <c r="C43" s="41"/>
      <c r="D43" s="48">
        <f>C43*Data!$B$4</f>
        <v>0</v>
      </c>
      <c r="E43" s="49"/>
      <c r="F43" s="50" t="e">
        <f>((C43+D43)*E43*52)/(Table112[[#This Row],[Hours worked/week]]/Data!$B$3)</f>
        <v>#DIV/0!</v>
      </c>
      <c r="G43" s="41"/>
    </row>
    <row r="44" spans="2:7" x14ac:dyDescent="0.35">
      <c r="B44" s="36"/>
      <c r="C44" s="41"/>
      <c r="D44" s="48">
        <f>C44*Data!$B$4</f>
        <v>0</v>
      </c>
      <c r="E44" s="49"/>
      <c r="F44" s="50" t="e">
        <f>((C44+D44)*E44*52)/(Table112[[#This Row],[Hours worked/week]]/Data!$B$3)</f>
        <v>#DIV/0!</v>
      </c>
      <c r="G44" s="41"/>
    </row>
    <row r="45" spans="2:7" x14ac:dyDescent="0.35">
      <c r="B45" s="36"/>
      <c r="C45" s="41"/>
      <c r="D45" s="48">
        <f>C45*Data!$B$4</f>
        <v>0</v>
      </c>
      <c r="E45" s="49"/>
      <c r="F45" s="50" t="e">
        <f>((C45+D45)*E45*52)/(Table112[[#This Row],[Hours worked/week]]/Data!$B$3)</f>
        <v>#DIV/0!</v>
      </c>
      <c r="G45" s="41"/>
    </row>
    <row r="46" spans="2:7" x14ac:dyDescent="0.35">
      <c r="B46" s="36"/>
      <c r="C46" s="41"/>
      <c r="D46" s="48">
        <f>C46*Data!$B$4</f>
        <v>0</v>
      </c>
      <c r="E46" s="49"/>
      <c r="F46" s="50" t="e">
        <f>((C46+D46)*E46*52)/(Table112[[#This Row],[Hours worked/week]]/Data!$B$3)</f>
        <v>#DIV/0!</v>
      </c>
      <c r="G46" s="41"/>
    </row>
    <row r="47" spans="2:7" x14ac:dyDescent="0.35">
      <c r="B47" s="36"/>
      <c r="C47" s="41"/>
      <c r="D47" s="48">
        <f>C47*Data!$B$4</f>
        <v>0</v>
      </c>
      <c r="E47" s="49"/>
      <c r="F47" s="50" t="e">
        <f>((C47+D47)*E47*52)/(Table112[[#This Row],[Hours worked/week]]/Data!$B$3)</f>
        <v>#DIV/0!</v>
      </c>
      <c r="G47" s="41"/>
    </row>
    <row r="48" spans="2:7" x14ac:dyDescent="0.35">
      <c r="B48" s="36"/>
      <c r="C48" s="41"/>
      <c r="D48" s="48">
        <f>C48*Data!$B$4</f>
        <v>0</v>
      </c>
      <c r="E48" s="49"/>
      <c r="F48" s="50" t="e">
        <f>((C48+D48)*E48*52)/(Table112[[#This Row],[Hours worked/week]]/Data!$B$3)</f>
        <v>#DIV/0!</v>
      </c>
      <c r="G48" s="41"/>
    </row>
    <row r="49" spans="2:7" x14ac:dyDescent="0.35">
      <c r="B49" s="36"/>
      <c r="C49" s="41"/>
      <c r="D49" s="48">
        <f>C49*Data!$B$4</f>
        <v>0</v>
      </c>
      <c r="E49" s="49"/>
      <c r="F49" s="50" t="e">
        <f>((C49+D49)*E49*52)/(Table112[[#This Row],[Hours worked/week]]/Data!$B$3)</f>
        <v>#DIV/0!</v>
      </c>
      <c r="G49" s="41"/>
    </row>
    <row r="50" spans="2:7" x14ac:dyDescent="0.35">
      <c r="B50" s="36"/>
      <c r="C50" s="41"/>
      <c r="D50" s="48">
        <f>C50*Data!$B$4</f>
        <v>0</v>
      </c>
      <c r="E50" s="49"/>
      <c r="F50" s="50" t="e">
        <f>((C50+D50)*E50*52)/(Table112[[#This Row],[Hours worked/week]]/Data!$B$3)</f>
        <v>#DIV/0!</v>
      </c>
      <c r="G50" s="41"/>
    </row>
  </sheetData>
  <dataConsolidate function="varp"/>
  <mergeCells count="1">
    <mergeCell ref="B1:G1"/>
  </mergeCell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7AAB47-D7F2-4710-9C25-57211B7080D2}">
          <x14:formula1>
            <xm:f>Data!$A$27:$A$34</xm:f>
          </x14:formula1>
          <xm:sqref>G3:G50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D748-5344-43F9-87C0-B24964791C48}">
  <sheetPr>
    <tabColor theme="4" tint="-0.499984740745262"/>
  </sheetPr>
  <dimension ref="A1:AG89"/>
  <sheetViews>
    <sheetView showGridLines="0" zoomScale="110" zoomScaleNormal="110" workbookViewId="0">
      <pane xSplit="1" topLeftCell="B1" activePane="topRight" state="frozen"/>
      <selection pane="topRight" activeCell="E90" sqref="E90"/>
    </sheetView>
  </sheetViews>
  <sheetFormatPr defaultColWidth="8.81640625" defaultRowHeight="14.5" x14ac:dyDescent="0.35"/>
  <cols>
    <col min="1" max="1" width="48.1796875" bestFit="1" customWidth="1"/>
  </cols>
  <sheetData>
    <row r="1" spans="1:33" ht="29" thickBot="1" x14ac:dyDescent="0.7">
      <c r="A1" s="62" t="s">
        <v>50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4"/>
    </row>
    <row r="2" spans="1:33" ht="18.5" x14ac:dyDescent="0.45">
      <c r="A2" s="56"/>
      <c r="B2" s="65" t="s">
        <v>51</v>
      </c>
      <c r="C2" s="66"/>
      <c r="D2" s="66"/>
      <c r="E2" s="67"/>
      <c r="F2" s="65" t="s">
        <v>52</v>
      </c>
      <c r="G2" s="66"/>
      <c r="H2" s="66"/>
      <c r="I2" s="67"/>
      <c r="J2" s="65" t="s">
        <v>53</v>
      </c>
      <c r="K2" s="66"/>
      <c r="L2" s="66"/>
      <c r="M2" s="67"/>
      <c r="N2" s="65" t="s">
        <v>54</v>
      </c>
      <c r="O2" s="66"/>
      <c r="P2" s="66"/>
      <c r="Q2" s="67"/>
      <c r="R2" s="65" t="s">
        <v>55</v>
      </c>
      <c r="S2" s="66"/>
      <c r="T2" s="66"/>
      <c r="U2" s="67"/>
      <c r="V2" s="65" t="s">
        <v>56</v>
      </c>
      <c r="W2" s="66"/>
      <c r="X2" s="66"/>
      <c r="Y2" s="67"/>
      <c r="Z2" s="65" t="s">
        <v>57</v>
      </c>
      <c r="AA2" s="66"/>
      <c r="AB2" s="66"/>
      <c r="AC2" s="67"/>
      <c r="AD2" s="65" t="s">
        <v>42</v>
      </c>
      <c r="AE2" s="66"/>
      <c r="AF2" s="66"/>
      <c r="AG2" s="67"/>
    </row>
    <row r="3" spans="1:33" ht="15" thickBot="1" x14ac:dyDescent="0.4">
      <c r="A3" s="25" t="s">
        <v>32</v>
      </c>
      <c r="B3" s="7" t="s">
        <v>58</v>
      </c>
      <c r="C3" s="8" t="s">
        <v>59</v>
      </c>
      <c r="D3" s="8" t="s">
        <v>60</v>
      </c>
      <c r="E3" s="9" t="s">
        <v>61</v>
      </c>
      <c r="F3" s="7" t="s">
        <v>58</v>
      </c>
      <c r="G3" s="8" t="s">
        <v>59</v>
      </c>
      <c r="H3" s="8" t="s">
        <v>60</v>
      </c>
      <c r="I3" s="9" t="s">
        <v>61</v>
      </c>
      <c r="J3" s="7" t="s">
        <v>58</v>
      </c>
      <c r="K3" s="8" t="s">
        <v>59</v>
      </c>
      <c r="L3" s="8" t="s">
        <v>60</v>
      </c>
      <c r="M3" s="9" t="s">
        <v>61</v>
      </c>
      <c r="N3" s="7" t="s">
        <v>58</v>
      </c>
      <c r="O3" s="8" t="s">
        <v>59</v>
      </c>
      <c r="P3" s="8" t="s">
        <v>60</v>
      </c>
      <c r="Q3" s="9" t="s">
        <v>61</v>
      </c>
      <c r="R3" s="7" t="s">
        <v>58</v>
      </c>
      <c r="S3" s="8" t="s">
        <v>59</v>
      </c>
      <c r="T3" s="8" t="s">
        <v>60</v>
      </c>
      <c r="U3" s="9" t="s">
        <v>61</v>
      </c>
      <c r="V3" s="7" t="s">
        <v>58</v>
      </c>
      <c r="W3" s="8" t="s">
        <v>59</v>
      </c>
      <c r="X3" s="8" t="s">
        <v>60</v>
      </c>
      <c r="Y3" s="9" t="s">
        <v>61</v>
      </c>
      <c r="Z3" s="7" t="s">
        <v>58</v>
      </c>
      <c r="AA3" s="8" t="s">
        <v>59</v>
      </c>
      <c r="AB3" s="8" t="s">
        <v>60</v>
      </c>
      <c r="AC3" s="9" t="s">
        <v>61</v>
      </c>
      <c r="AD3" s="7" t="s">
        <v>58</v>
      </c>
      <c r="AE3" s="8" t="s">
        <v>59</v>
      </c>
      <c r="AF3" s="8" t="s">
        <v>60</v>
      </c>
      <c r="AG3" s="9" t="s">
        <v>61</v>
      </c>
    </row>
    <row r="4" spans="1:33" x14ac:dyDescent="0.35">
      <c r="A4" s="13" t="s">
        <v>62</v>
      </c>
      <c r="B4" s="19">
        <f>COUNTIFS('Input - Architecture'!$G$3:$G$50,"Graduate up to 2 years",'Input - Architecture'!$H$3:$H$50,"M",'Input - Architecture'!$I$3:$I$50,"QLD")</f>
        <v>2</v>
      </c>
      <c r="C4" s="20">
        <f>IFERROR((AVERAGEIFS('Input - Architecture'!$F$3:$F$50,'Input - Architecture'!$G$3:$G$50,"Graduate up to 2 years",'Input - Architecture'!$H$3:$H$50,"M",'Input - Architecture'!$I$3:$I$50,"QLD")),0)</f>
        <v>1288</v>
      </c>
      <c r="D4" s="20">
        <f>IFERROR((_xlfn.MINIFS('Input - Architecture'!$F$3:$F$50,'Input - Architecture'!$G$3:$G$50,"Graduate up to 2 years",'Input - Architecture'!$H$3:$H$50,"M",'Input - Architecture'!$I$3:$I$50,"QLD")),0)</f>
        <v>1120</v>
      </c>
      <c r="E4" s="21">
        <f>IFERROR((_xlfn.MAXIFS('Input - Architecture'!$F$3:$F$50,'Input - Architecture'!$G$3:$G$50,"Graduate up to 2 years",'Input - Architecture'!$H$3:$H$50,"M",'Input - Architecture'!$I$3:$I$50,"QLD")),0)</f>
        <v>1456</v>
      </c>
      <c r="F4" s="10">
        <f>COUNTIFS('Input - Architecture'!$G$3:$G$50,"Graduate up to 2 years",'Input - Architecture'!$H$3:$H$50,"M",'Input - Architecture'!$I$3:$I$50,"NSW")</f>
        <v>0</v>
      </c>
      <c r="G4" s="12">
        <f>IFERROR((AVERAGEIFS('Input - Architecture'!$F$3:$F$50,'Input - Architecture'!$G$3:$G$50,"Graduate up to 2 years",'Input - Architecture'!$H$3:$H$50,"M",'Input - Architecture'!$I$3:$I$50,"NSW")),0)</f>
        <v>0</v>
      </c>
      <c r="H4" s="12">
        <f>IFERROR((_xlfn.MINIFS('Input - Architecture'!$F$3:$F$50,'Input - Architecture'!$G$3:$G$50,"Graduate up to 2 years",'Input - Architecture'!$H$3:$H$50,"M",'Input - Architecture'!$I$3:$I$50,"NSW")),0)</f>
        <v>0</v>
      </c>
      <c r="I4" s="15">
        <f>IFERROR((_xlfn.MAXIFS('Input - Architecture'!$F$3:$F$50,'Input - Architecture'!$G$3:$G$50,"Graduate up to 2 years",'Input - Architecture'!$H$3:$H$50,"M",'Input - Architecture'!$I$3:$I$50,"NSW")),0)</f>
        <v>0</v>
      </c>
      <c r="J4" s="19">
        <f>COUNTIFS('Input - Architecture'!$G$3:$G$50,"Graduate up to 2 years",'Input - Architecture'!$H$3:$H$50,"M",'Input - Architecture'!$I$3:$I$50,"VIC")</f>
        <v>0</v>
      </c>
      <c r="K4" s="20">
        <f>IFERROR((AVERAGEIFS('Input - Architecture'!$F$3:$F$50,'Input - Architecture'!$G$3:$G$50,"Graduate up to 2 years",'Input - Architecture'!$H$3:$H$50,"M",'Input - Architecture'!$I$3:$I$50,"VIC")),0)</f>
        <v>0</v>
      </c>
      <c r="L4" s="20">
        <f>IFERROR((_xlfn.MINIFS('Input - Architecture'!$F$3:$F$50,'Input - Architecture'!$G$3:$G$50,"Graduate up to 2 years",'Input - Architecture'!$H$3:$H$50,"M",'Input - Architecture'!$I$3:$I$50,"VIC")),0)</f>
        <v>0</v>
      </c>
      <c r="M4" s="21">
        <f>IFERROR((_xlfn.MAXIFS('Input - Architecture'!$F$3:$F$50,'Input - Architecture'!$G$3:$G$50,"Graduate up to 2 years",'Input - Architecture'!$H$3:$H$50,"M",'Input - Architecture'!$I$3:$I$50,"VIC")),0)</f>
        <v>0</v>
      </c>
      <c r="N4" s="10">
        <f>COUNTIFS('Input - Architecture'!$G$3:$G$50,"Graduate up to 2 years",'Input - Architecture'!$H$3:$H$50,"M",'Input - Architecture'!$I$3:$I$50,"SA")</f>
        <v>0</v>
      </c>
      <c r="O4" s="12">
        <f>IFERROR((AVERAGEIFS('Input - Architecture'!$F$3:$F$50,'Input - Architecture'!$G$3:$G$50,"Graduate up to 2 years",'Input - Architecture'!$H$3:$H$50,"M",'Input - Architecture'!$I$3:$I$50,"SA")),0)</f>
        <v>0</v>
      </c>
      <c r="P4" s="12">
        <f>IFERROR((_xlfn.MINIFS('Input - Architecture'!$F$3:$F$50,'Input - Architecture'!$G$3:$G$50,"Graduate up to 2 years",'Input - Architecture'!$H$3:$H$50,"M",'Input - Architecture'!$I$3:$I$50,"SA")),0)</f>
        <v>0</v>
      </c>
      <c r="Q4" s="15">
        <f>IFERROR((_xlfn.MAXIFS('Input - Architecture'!$F$3:$F$50,'Input - Architecture'!$G$3:$G$50,"Graduate up to 2 years",'Input - Architecture'!$H$3:$H$50,"M",'Input - Architecture'!$I$3:$I$50,"SA")),0)</f>
        <v>0</v>
      </c>
      <c r="R4" s="19">
        <f>COUNTIFS('Input - Architecture'!$G$3:$G$50,"Graduate up to 2 years",'Input - Architecture'!$H$3:$H$50,"M",'Input - Architecture'!$I$3:$I$50,"WA")</f>
        <v>0</v>
      </c>
      <c r="S4" s="20">
        <f>IFERROR((AVERAGEIFS('Input - Architecture'!$F$3:$F$50,'Input - Architecture'!$G$3:$G$50,"Graduate up to 2 years",'Input - Architecture'!$H$3:$H$50,"M",'Input - Architecture'!$I$3:$I$50,"WA")),0)</f>
        <v>0</v>
      </c>
      <c r="T4" s="20">
        <f>IFERROR((_xlfn.MINIFS('Input - Architecture'!$F$3:$F$50,'Input - Architecture'!$G$3:$G$50,"Graduate up to 2 years",'Input - Architecture'!$H$3:$H$50,"M",'Input - Architecture'!$I$3:$I$50,"WA")),0)</f>
        <v>0</v>
      </c>
      <c r="U4" s="21">
        <f>IFERROR((_xlfn.MAXIFS('Input - Architecture'!$F$3:$F$50,'Input - Architecture'!$G$3:$G$50,"Graduate up to 2 years",'Input - Architecture'!$H$3:$H$50,"M",'Input - Architecture'!$I$3:$I$50,"WA")),0)</f>
        <v>0</v>
      </c>
      <c r="V4" s="10">
        <f>COUNTIFS('Input - Architecture'!$G$3:$G$50,"Graduate up to 2 years",'Input - Architecture'!$H$3:$H$50,"M",'Input - Architecture'!$I$3:$I$50,"TAS")</f>
        <v>0</v>
      </c>
      <c r="W4" s="12">
        <f>IFERROR((AVERAGEIFS('Input - Architecture'!$F$3:$F$50,'Input - Architecture'!$G$3:$G$50,"Graduate up to 2 years",'Input - Architecture'!$H$3:$H$50,"M",'Input - Architecture'!$I$3:$I$50,"TAS")),0)</f>
        <v>0</v>
      </c>
      <c r="X4" s="12">
        <f>IFERROR((_xlfn.MINIFS('Input - Architecture'!$F$3:$F$50,'Input - Architecture'!$G$3:$G$50,"Graduate up to 2 years",'Input - Architecture'!$H$3:$H$50,"M",'Input - Architecture'!$I$3:$I$50,"TAS")),0)</f>
        <v>0</v>
      </c>
      <c r="Y4" s="15">
        <f>IFERROR((_xlfn.MAXIFS('Input - Architecture'!$F$3:$F$50,'Input - Architecture'!$G$3:$G$50,"Graduate up to 2 years",'Input - Architecture'!$H$3:$H$50,"M",'Input - Architecture'!$I$3:$I$50,"TAS")),0)</f>
        <v>0</v>
      </c>
      <c r="Z4" s="19">
        <f>COUNTIFS('Input - Architecture'!$G$3:$G$50,"Graduate up to 2 years",'Input - Architecture'!$H$3:$H$50,"M",'Input - Architecture'!$I$3:$I$50,"NT")</f>
        <v>0</v>
      </c>
      <c r="AA4" s="20">
        <f>IFERROR((AVERAGEIFS('Input - Architecture'!$F$3:$F$50,'Input - Architecture'!$G$3:$G$50,"Graduate up to 2 years",'Input - Architecture'!$H$3:$H$50,"M",'Input - Architecture'!$I$3:$I$50,"NT")),0)</f>
        <v>0</v>
      </c>
      <c r="AB4" s="20">
        <f>IFERROR((_xlfn.MINIFS('Input - Architecture'!$F$3:$F$50,'Input - Architecture'!$G$3:$G$50,"Graduate up to 2 years",'Input - Architecture'!$H$3:$H$50,"M",'Input - Architecture'!$I$3:$I$50,"NT")),0)</f>
        <v>0</v>
      </c>
      <c r="AC4" s="21">
        <f>IFERROR((_xlfn.MAXIFS('Input - Architecture'!$F$3:$F$50,'Input - Architecture'!$G$3:$G$50,"Graduate up to 2 years",'Input - Architecture'!$H$3:$H$50,"M",'Input - Architecture'!$I$3:$I$50,"NT")),0)</f>
        <v>0</v>
      </c>
      <c r="AD4" s="10">
        <f>COUNTIFS('Input - Architecture'!$G$3:$G$50,"Graduate up to 2 years",'Input - Architecture'!$H$3:$H$50,"M",'Input - Architecture'!$I$3:$I$50,"ACT")</f>
        <v>1</v>
      </c>
      <c r="AE4" s="12">
        <f>IFERROR((AVERAGEIFS('Input - Architecture'!$F$3:$F$50,'Input - Architecture'!$G$3:$G$50,"Graduate up to 2 years",'Input - Architecture'!$H$3:$H$50,"M",'Input - Architecture'!$I$3:$I$50,"ACT")),0)</f>
        <v>1344</v>
      </c>
      <c r="AF4" s="12">
        <f>IFERROR((_xlfn.MINIFS('Input - Architecture'!$F$3:$F$50,'Input - Architecture'!$G$3:$G$50,"Graduate up to 2 years",'Input - Architecture'!$H$3:$H$50,"M",'Input - Architecture'!$I$3:$I$50,"ACT")),0)</f>
        <v>1344</v>
      </c>
      <c r="AG4" s="15">
        <f>IFERROR((_xlfn.MAXIFS('Input - Architecture'!$F$3:$F$50,'Input - Architecture'!$G$3:$G$50,"Graduate up to 2 years",'Input - Architecture'!$H$3:$H$50,"M",'Input - Architecture'!$I$3:$I$50,"ACT")),0)</f>
        <v>1344</v>
      </c>
    </row>
    <row r="5" spans="1:33" x14ac:dyDescent="0.35">
      <c r="A5" s="11" t="s">
        <v>63</v>
      </c>
      <c r="B5" s="19">
        <f>COUNTIFS('Input - Architecture'!$G$3:$G$50,"Graduate up to 2 years",'Input - Architecture'!$H$3:$H$50,"F",'Input - Architecture'!$I$3:$I$50,"QLD")</f>
        <v>0</v>
      </c>
      <c r="C5" s="20">
        <f>IFERROR((AVERAGEIFS('Input - Architecture'!$F$3:$F$50,'Input - Architecture'!$G$3:$G$50,"Graduate up to 2 years",'Input - Architecture'!$H$3:$H$50,"F",'Input - Architecture'!$I$3:$I$50,"QLD")),0)</f>
        <v>0</v>
      </c>
      <c r="D5" s="20">
        <f>IFERROR((_xlfn.MINIFS('Input - Architecture'!$F$3:$F$50,'Input - Architecture'!$G$3:$G$50,"Graduate up to 2 years",'Input - Architecture'!$H$3:$H$50,"F",'Input - Architecture'!$I$3:$I$50,"QLD")),0)</f>
        <v>0</v>
      </c>
      <c r="E5" s="21">
        <f>IFERROR((_xlfn.MAXIFS('Input - Architecture'!$F$3:$F$50,'Input - Architecture'!$G$3:$G$50,"Graduate up to 2 years",'Input - Architecture'!$H$3:$H$50,"F",'Input - Architecture'!$I$3:$I$50,"QLD")),0)</f>
        <v>0</v>
      </c>
      <c r="F5" s="10">
        <f>COUNTIFS('Input - Architecture'!$G$3:$G$50,"Graduate up to 2 years",'Input - Architecture'!$H$3:$H$50,"F",'Input - Architecture'!$I$3:$I$50,"NSW")</f>
        <v>0</v>
      </c>
      <c r="G5" s="12">
        <f>IFERROR((AVERAGEIFS('Input - Architecture'!$F$3:$F$50,'Input - Architecture'!$G$3:$G$50,"Graduate up to 2 years",'Input - Architecture'!$H$3:$H$50,"F",'Input - Architecture'!$I$3:$I$50,"NSW")),0)</f>
        <v>0</v>
      </c>
      <c r="H5" s="12">
        <f>IFERROR((_xlfn.MINIFS('Input - Architecture'!$F$3:$F$50,'Input - Architecture'!$G$3:$G$50,"Graduate up to 2 years",'Input - Architecture'!$H$3:$H$50,"F",'Input - Architecture'!$I$3:$I$50,"NSW")),0)</f>
        <v>0</v>
      </c>
      <c r="I5" s="15">
        <f>IFERROR((_xlfn.MAXIFS('Input - Architecture'!$F$3:$F$50,'Input - Architecture'!$G$3:$G$50,"Graduate up to 2 years",'Input - Architecture'!$H$3:$H$50,"F",'Input - Architecture'!$I$3:$I$50,"NSW")),0)</f>
        <v>0</v>
      </c>
      <c r="J5" s="19">
        <f>COUNTIFS('Input - Architecture'!$G$3:$G$50,"Graduate up to 2 years",'Input - Architecture'!$H$3:$H$50,"F",'Input - Architecture'!$I$3:$I$50,"VIC")</f>
        <v>0</v>
      </c>
      <c r="K5" s="20">
        <f>IFERROR((AVERAGEIFS('Input - Architecture'!$F$3:$F$50,'Input - Architecture'!$G$3:$G$50,"Graduate up to 2 years",'Input - Architecture'!$H$3:$H$50,"F",'Input - Architecture'!$I$3:$I$50,"VIC")),0)</f>
        <v>0</v>
      </c>
      <c r="L5" s="20">
        <f>IFERROR((_xlfn.MINIFS('Input - Architecture'!$F$3:$F$50,'Input - Architecture'!$G$3:$G$50,"Graduate up to 2 years",'Input - Architecture'!$H$3:$H$50,"F",'Input - Architecture'!$I$3:$I$50,"VIC")),0)</f>
        <v>0</v>
      </c>
      <c r="M5" s="21">
        <f>IFERROR((_xlfn.MAXIFS('Input - Architecture'!$F$3:$F$50,'Input - Architecture'!$G$3:$G$50,"Graduate up to 2 years",'Input - Architecture'!$H$3:$H$50,"F",'Input - Architecture'!$I$3:$I$50,"VIC")),0)</f>
        <v>0</v>
      </c>
      <c r="N5" s="10">
        <f>COUNTIFS('Input - Architecture'!$G$3:$G$50,"Graduate up to 2 years",'Input - Architecture'!$H$3:$H$50,"F",'Input - Architecture'!$I$3:$I$50,"SA")</f>
        <v>0</v>
      </c>
      <c r="O5" s="12">
        <f>IFERROR((AVERAGEIFS('Input - Architecture'!$F$3:$F$50,'Input - Architecture'!$G$3:$G$50,"Graduate up to 2 years",'Input - Architecture'!$H$3:$H$50,"F",'Input - Architecture'!$I$3:$I$50,"SA")),0)</f>
        <v>0</v>
      </c>
      <c r="P5" s="12">
        <f>IFERROR((_xlfn.MINIFS('Input - Architecture'!$F$3:$F$50,'Input - Architecture'!$G$3:$G$50,"Graduate up to 2 years",'Input - Architecture'!$H$3:$H$50,"F",'Input - Architecture'!$I$3:$I$50,"SA")),0)</f>
        <v>0</v>
      </c>
      <c r="Q5" s="15">
        <f>IFERROR((_xlfn.MAXIFS('Input - Architecture'!$F$3:$F$50,'Input - Architecture'!$G$3:$G$50,"Graduate up to 2 years",'Input - Architecture'!$H$3:$H$50,"F",'Input - Architecture'!$I$3:$I$50,"SA")),0)</f>
        <v>0</v>
      </c>
      <c r="R5" s="19">
        <f>COUNTIFS('Input - Architecture'!$G$3:$G$50,"Graduate up to 2 years",'Input - Architecture'!$H$3:$H$50,"F",'Input - Architecture'!$I$3:$I$50,"WA")</f>
        <v>0</v>
      </c>
      <c r="S5" s="20">
        <f>IFERROR((AVERAGEIFS('Input - Architecture'!$F$3:$F$50,'Input - Architecture'!$G$3:$G$50,"Graduate up to 2 years",'Input - Architecture'!$H$3:$H$50,"F",'Input - Architecture'!$I$3:$I$50,"WA")),0)</f>
        <v>0</v>
      </c>
      <c r="T5" s="20">
        <f>IFERROR((_xlfn.MINIFS('Input - Architecture'!$F$3:$F$50,'Input - Architecture'!$G$3:$G$50,"Graduate up to 2 years",'Input - Architecture'!$H$3:$H$50,"F",'Input - Architecture'!$I$3:$I$50,"WA")),0)</f>
        <v>0</v>
      </c>
      <c r="U5" s="21">
        <f>IFERROR((_xlfn.MAXIFS('Input - Architecture'!$F$3:$F$50,'Input - Architecture'!$G$3:$G$50,"Graduate up to 2 years",'Input - Architecture'!$H$3:$H$50,"F",'Input - Architecture'!$I$3:$I$50,"WA")),0)</f>
        <v>0</v>
      </c>
      <c r="V5" s="10">
        <f>COUNTIFS('Input - Architecture'!$G$3:$G$50,"Graduate up to 2 years",'Input - Architecture'!$H$3:$H$50,"F",'Input - Architecture'!$I$3:$I$50,"TAS")</f>
        <v>0</v>
      </c>
      <c r="W5" s="12">
        <f>IFERROR((AVERAGEIFS('Input - Architecture'!$F$3:$F$50,'Input - Architecture'!$G$3:$G$50,"Graduate up to 2 years",'Input - Architecture'!$H$3:$H$50,"F",'Input - Architecture'!$I$3:$I$50,"TAS")),0)</f>
        <v>0</v>
      </c>
      <c r="X5" s="12">
        <f>IFERROR((_xlfn.MINIFS('Input - Architecture'!$F$3:$F$50,'Input - Architecture'!$G$3:$G$50,"Graduate up to 2 years",'Input - Architecture'!$H$3:$H$50,"F",'Input - Architecture'!$I$3:$I$50,"TAS")),0)</f>
        <v>0</v>
      </c>
      <c r="Y5" s="15">
        <f>IFERROR((_xlfn.MAXIFS('Input - Architecture'!$F$3:$F$50,'Input - Architecture'!$G$3:$G$50,"Graduate up to 2 years",'Input - Architecture'!$H$3:$H$50,"F",'Input - Architecture'!$I$3:$I$50,"TAS")),0)</f>
        <v>0</v>
      </c>
      <c r="Z5" s="19">
        <f>COUNTIFS('Input - Architecture'!$G$3:$G$50,"Graduate up to 2 years",'Input - Architecture'!$H$3:$H$50,"F",'Input - Architecture'!$I$3:$I$50,"NT")</f>
        <v>0</v>
      </c>
      <c r="AA5" s="20">
        <f>IFERROR((AVERAGEIFS('Input - Architecture'!$F$3:$F$50,'Input - Architecture'!$G$3:$G$50,"Graduate up to 2 years",'Input - Architecture'!$H$3:$H$50,"F",'Input - Architecture'!$I$3:$I$50,"NT")),0)</f>
        <v>0</v>
      </c>
      <c r="AB5" s="20">
        <f>IFERROR((_xlfn.MINIFS('Input - Architecture'!$F$3:$F$50,'Input - Architecture'!$G$3:$G$50,"Graduate up to 2 years",'Input - Architecture'!$H$3:$H$50,"F",'Input - Architecture'!$I$3:$I$50,"NT")),0)</f>
        <v>0</v>
      </c>
      <c r="AC5" s="21">
        <f>IFERROR((_xlfn.MAXIFS('Input - Architecture'!$F$3:$F$50,'Input - Architecture'!$G$3:$G$50,"Graduate up to 2 years",'Input - Architecture'!$H$3:$H$50,"F",'Input - Architecture'!$I$3:$I$50,"NT")),0)</f>
        <v>0</v>
      </c>
      <c r="AD5" s="10">
        <f>COUNTIFS('Input - Architecture'!$G$3:$G$50,"Graduate up to 2 years",'Input - Architecture'!$H$3:$H$50,"F",'Input - Architecture'!$I$3:$I$50,"ACT")</f>
        <v>0</v>
      </c>
      <c r="AE5" s="12">
        <f>IFERROR((AVERAGEIFS('Input - Architecture'!$F$3:$F$50,'Input - Architecture'!$G$3:$G$50,"Graduate up to 2 years",'Input - Architecture'!$H$3:$H$50,"F",'Input - Architecture'!$I$3:$I$50,"ACT")),0)</f>
        <v>0</v>
      </c>
      <c r="AF5" s="12">
        <f>IFERROR((_xlfn.MINIFS('Input - Architecture'!$F$3:$F$50,'Input - Architecture'!$G$3:$G$50,"Graduate up to 2 years",'Input - Architecture'!$H$3:$H$50,"F",'Input - Architecture'!$I$3:$I$50,"ACT")),0)</f>
        <v>0</v>
      </c>
      <c r="AG5" s="15">
        <f>IFERROR((_xlfn.MAXIFS('Input - Architecture'!$F$3:$F$50,'Input - Architecture'!$G$3:$G$50,"Graduate up to 2 years",'Input - Architecture'!$H$3:$H$50,"F",'Input - Architecture'!$I$3:$I$50,"ACT")),0)</f>
        <v>0</v>
      </c>
    </row>
    <row r="6" spans="1:33" x14ac:dyDescent="0.35">
      <c r="A6" s="11" t="s">
        <v>64</v>
      </c>
      <c r="B6" s="19">
        <f>COUNTIFS('Input - Architecture'!$G$3:$G$50,"Experienced non-registered",'Input - Architecture'!$H$3:$H$50,"M",'Input - Architecture'!$I$3:$I$50,"QLD")</f>
        <v>0</v>
      </c>
      <c r="C6" s="20">
        <f>IFERROR((AVERAGEIFS('Input - Architecture'!$F$3:$F$50,'Input - Architecture'!$G$3:$G$50,"Experienced non-registered",'Input - Architecture'!$H$3:$H$50,"M",'Input - Architecture'!$I$3:$I$50,"QLD")),0)</f>
        <v>0</v>
      </c>
      <c r="D6" s="20">
        <f>IFERROR((_xlfn.MINIFS('Input - Architecture'!$F$3:$F$50,'Input - Architecture'!$G$3:$G$50,"Experienced non-registered",'Input - Architecture'!$H$3:$H$50,"M",'Input - Architecture'!$I$3:$I$50,"QLD")),0)</f>
        <v>0</v>
      </c>
      <c r="E6" s="21">
        <f>IFERROR((_xlfn.MAXIFS('Input - Architecture'!$F$3:$F$50,'Input - Architecture'!$G$3:$G$50,"Experienced non-registered",'Input - Architecture'!$H$3:$H$50,"M",'Input - Architecture'!$I$3:$I$50,"QLD")),0)</f>
        <v>0</v>
      </c>
      <c r="F6" s="10">
        <f>COUNTIFS('Input - Architecture'!$G$3:$G$50,"Experienced non-registered",'Input - Architecture'!$H$3:$H$50,"M",'Input - Architecture'!$I$3:$I$50,"NSW")</f>
        <v>0</v>
      </c>
      <c r="G6" s="12">
        <f>IFERROR((AVERAGEIFS('Input - Architecture'!$F$3:$F$50,'Input - Architecture'!$G$3:$G$50,"Experienced non-registered",'Input - Architecture'!$H$3:$H$50,"M",'Input - Architecture'!$I$3:$I$50,"NSW")),0)</f>
        <v>0</v>
      </c>
      <c r="H6" s="12">
        <f>IFERROR((_xlfn.MINIFS('Input - Architecture'!$F$3:$F$50,'Input - Architecture'!$G$3:$G$50,"Experienced non-registered",'Input - Architecture'!$H$3:$H$50,"M",'Input - Architecture'!$I$3:$I$50,"NSW")),0)</f>
        <v>0</v>
      </c>
      <c r="I6" s="15">
        <f>IFERROR((_xlfn.MAXIFS('Input - Architecture'!$F$3:$F$50,'Input - Architecture'!$G$3:$G$50,"Experienced non-registered",'Input - Architecture'!$H$3:$H$50,"M",'Input - Architecture'!$I$3:$I$50,"NSW")),0)</f>
        <v>0</v>
      </c>
      <c r="J6" s="19">
        <f>COUNTIFS('Input - Architecture'!$G$3:$G$50,"Experienced non-registered",'Input - Architecture'!$H$3:$H$50,"M",'Input - Architecture'!$I$3:$I$50,"VIC")</f>
        <v>0</v>
      </c>
      <c r="K6" s="20">
        <f>IFERROR((AVERAGEIFS('Input - Architecture'!$F$3:$F$50,'Input - Architecture'!$G$3:$G$50,"Experienced non-registered",'Input - Architecture'!$H$3:$H$50,"M",'Input - Architecture'!$I$3:$I$50,"VIC")),0)</f>
        <v>0</v>
      </c>
      <c r="L6" s="20">
        <f>IFERROR((_xlfn.MINIFS('Input - Architecture'!$F$3:$F$50,'Input - Architecture'!$G$3:$G$50,"Experienced non-registered",'Input - Architecture'!$H$3:$H$50,"M",'Input - Architecture'!$I$3:$I$50,"VIC")),0)</f>
        <v>0</v>
      </c>
      <c r="M6" s="21">
        <f>IFERROR((_xlfn.MAXIFS('Input - Architecture'!$F$3:$F$50,'Input - Architecture'!$G$3:$G$50,"Experienced non-registered",'Input - Architecture'!$H$3:$H$50,"M",'Input - Architecture'!$I$3:$I$50,"VIC")),0)</f>
        <v>0</v>
      </c>
      <c r="N6" s="10">
        <f>COUNTIFS('Input - Architecture'!$G$3:$G$50,"Experienced non-registered",'Input - Architecture'!$H$3:$H$50,"M",'Input - Architecture'!$I$3:$I$50,"SA")</f>
        <v>0</v>
      </c>
      <c r="O6" s="12">
        <f>IFERROR((AVERAGEIFS('Input - Architecture'!$F$3:$F$50,'Input - Architecture'!$G$3:$G$50,"Experienced non-registered",'Input - Architecture'!$H$3:$H$50,"M",'Input - Architecture'!$I$3:$I$50,"SA")),0)</f>
        <v>0</v>
      </c>
      <c r="P6" s="12">
        <f>IFERROR((_xlfn.MINIFS('Input - Architecture'!$F$3:$F$50,'Input - Architecture'!$G$3:$G$50,"Experienced non-registered",'Input - Architecture'!$H$3:$H$50,"M",'Input - Architecture'!$I$3:$I$50,"SA")),0)</f>
        <v>0</v>
      </c>
      <c r="Q6" s="15">
        <f>IFERROR((_xlfn.MAXIFS('Input - Architecture'!$F$3:$F$50,'Input - Architecture'!$G$3:$G$50,"Experienced non-registered",'Input - Architecture'!$H$3:$H$50,"M",'Input - Architecture'!$I$3:$I$50,"SA")),0)</f>
        <v>0</v>
      </c>
      <c r="R6" s="19">
        <f>COUNTIFS('Input - Architecture'!$G$3:$G$50,"Experienced non-registered",'Input - Architecture'!$H$3:$H$50,"M",'Input - Architecture'!$I$3:$I$50,"WA")</f>
        <v>0</v>
      </c>
      <c r="S6" s="20">
        <f>IFERROR((AVERAGEIFS('Input - Architecture'!$F$3:$F$50,'Input - Architecture'!$G$3:$G$50,"Experienced non-registered",'Input - Architecture'!$H$3:$H$50,"M",'Input - Architecture'!$I$3:$I$50,"WA")),0)</f>
        <v>0</v>
      </c>
      <c r="T6" s="20">
        <f>IFERROR((_xlfn.MINIFS('Input - Architecture'!$F$3:$F$50,'Input - Architecture'!$G$3:$G$50,"Experienced non-registered",'Input - Architecture'!$H$3:$H$50,"M",'Input - Architecture'!$I$3:$I$50,"WA")),0)</f>
        <v>0</v>
      </c>
      <c r="U6" s="21">
        <f>IFERROR((_xlfn.MAXIFS('Input - Architecture'!$F$3:$F$50,'Input - Architecture'!$G$3:$G$50,"Experienced non-registered",'Input - Architecture'!$H$3:$H$50,"M",'Input - Architecture'!$I$3:$I$50,"WA")),0)</f>
        <v>0</v>
      </c>
      <c r="V6" s="10">
        <f>COUNTIFS('Input - Architecture'!$G$3:$G$50,"Experienced non-registered",'Input - Architecture'!$H$3:$H$50,"M",'Input - Architecture'!$I$3:$I$50,"TAS")</f>
        <v>0</v>
      </c>
      <c r="W6" s="12">
        <f>IFERROR((AVERAGEIFS('Input - Architecture'!$F$3:$F$50,'Input - Architecture'!$G$3:$G$50,"Experienced non-registered",'Input - Architecture'!$H$3:$H$50,"M",'Input - Architecture'!$I$3:$I$50,"TAS")),0)</f>
        <v>0</v>
      </c>
      <c r="X6" s="12">
        <f>IFERROR((_xlfn.MINIFS('Input - Architecture'!$F$3:$F$50,'Input - Architecture'!$G$3:$G$50,"Experienced non-registered",'Input - Architecture'!$H$3:$H$50,"M",'Input - Architecture'!$I$3:$I$50,"TAS")),0)</f>
        <v>0</v>
      </c>
      <c r="Y6" s="15">
        <f>IFERROR((_xlfn.MAXIFS('Input - Architecture'!$F$3:$F$50,'Input - Architecture'!$G$3:$G$50,"Experienced non-registered",'Input - Architecture'!$H$3:$H$50,"M",'Input - Architecture'!$I$3:$I$50,"TAS")),0)</f>
        <v>0</v>
      </c>
      <c r="Z6" s="19">
        <f>COUNTIFS('Input - Architecture'!$G$3:$G$50,"Experienced non-registered",'Input - Architecture'!$H$3:$H$50,"M",'Input - Architecture'!$I$3:$I$50,"NT")</f>
        <v>0</v>
      </c>
      <c r="AA6" s="20">
        <f>IFERROR((AVERAGEIFS('Input - Architecture'!$F$3:$F$50,'Input - Architecture'!$G$3:$G$50,"Experienced non-registered",'Input - Architecture'!$H$3:$H$50,"M",'Input - Architecture'!$I$3:$I$50,"NT")),0)</f>
        <v>0</v>
      </c>
      <c r="AB6" s="20">
        <f>IFERROR((_xlfn.MINIFS('Input - Architecture'!$F$3:$F$50,'Input - Architecture'!$G$3:$G$50,"Experienced non-registered",'Input - Architecture'!$H$3:$H$50,"M",'Input - Architecture'!$I$3:$I$50,"NT")),0)</f>
        <v>0</v>
      </c>
      <c r="AC6" s="21">
        <f>IFERROR((_xlfn.MAXIFS('Input - Architecture'!$F$3:$F$50,'Input - Architecture'!$G$3:$G$50,"Experienced non-registered",'Input - Architecture'!$H$3:$H$50,"M",'Input - Architecture'!$I$3:$I$50,"NT")),0)</f>
        <v>0</v>
      </c>
      <c r="AD6" s="10">
        <f>COUNTIFS('Input - Architecture'!$G$3:$G$50,"Experienced non-registered",'Input - Architecture'!$H$3:$H$50,"M",'Input - Architecture'!$I$3:$I$50,"ACT")</f>
        <v>0</v>
      </c>
      <c r="AE6" s="12">
        <f>IFERROR((AVERAGEIFS('Input - Architecture'!$F$3:$F$50,'Input - Architecture'!$G$3:$G$50,"Experienced non-registered",'Input - Architecture'!$H$3:$H$50,"M",'Input - Architecture'!$I$3:$I$50,"ACT")),0)</f>
        <v>0</v>
      </c>
      <c r="AF6" s="12">
        <f>IFERROR((_xlfn.MINIFS('Input - Architecture'!$F$3:$F$50,'Input - Architecture'!$G$3:$G$50,"Experienced non-registered",'Input - Architecture'!$H$3:$H$50,"M",'Input - Architecture'!$I$3:$I$50,"ACT")),0)</f>
        <v>0</v>
      </c>
      <c r="AG6" s="15">
        <f>IFERROR((_xlfn.MAXIFS('Input - Architecture'!$F$3:$F$50,'Input - Architecture'!$G$3:$G$50,"Experienced non-registered",'Input - Architecture'!$H$3:$H$50,"M",'Input - Architecture'!$I$3:$I$50,"ACT")),0)</f>
        <v>0</v>
      </c>
    </row>
    <row r="7" spans="1:33" x14ac:dyDescent="0.35">
      <c r="A7" s="11" t="s">
        <v>65</v>
      </c>
      <c r="B7" s="19">
        <f>COUNTIFS('Input - Architecture'!$G$3:$G$50,"Experienced non-registered",'Input - Architecture'!$H$3:$H$50,"F",'Input - Architecture'!$I$3:$I$50,"QLD")</f>
        <v>0</v>
      </c>
      <c r="C7" s="20">
        <f>IFERROR((AVERAGEIFS('Input - Architecture'!$F$3:$F$50,'Input - Architecture'!$G$3:$G$50,"Experienced non-registered",'Input - Architecture'!$H$3:$H$50,"F",'Input - Architecture'!$I$3:$I$50,"QLD")),0)</f>
        <v>0</v>
      </c>
      <c r="D7" s="20">
        <f>IFERROR((_xlfn.MINIFS('Input - Architecture'!$F$3:$F$50,'Input - Architecture'!$G$3:$G$50,"Experienced non-registered",'Input - Architecture'!$H$3:$H$50,"F",'Input - Architecture'!$I$3:$I$50,"QLD")),0)</f>
        <v>0</v>
      </c>
      <c r="E7" s="21">
        <f>IFERROR((_xlfn.MAXIFS('Input - Architecture'!$F$3:$F$50,'Input - Architecture'!$G$3:$G$50,"Experienced non-registered",'Input - Architecture'!$H$3:$H$50,"F",'Input - Architecture'!$I$3:$I$50,"QLD")),0)</f>
        <v>0</v>
      </c>
      <c r="F7" s="10">
        <f>COUNTIFS('Input - Architecture'!$G$3:$G$50,"Experienced non-registered",'Input - Architecture'!$H$3:$H$50,"F",'Input - Architecture'!$I$3:$I$50,"NSW")</f>
        <v>0</v>
      </c>
      <c r="G7" s="12">
        <f>IFERROR((AVERAGEIFS('Input - Architecture'!$F$3:$F$50,'Input - Architecture'!$G$3:$G$50,"Experienced non-registered",'Input - Architecture'!$H$3:$H$50,"F",'Input - Architecture'!$I$3:$I$50,"NSW")),0)</f>
        <v>0</v>
      </c>
      <c r="H7" s="12">
        <f>IFERROR((_xlfn.MINIFS('Input - Architecture'!$F$3:$F$50,'Input - Architecture'!$G$3:$G$50,"Experienced non-registered",'Input - Architecture'!$H$3:$H$50,"F",'Input - Architecture'!$I$3:$I$50,"NSW")),0)</f>
        <v>0</v>
      </c>
      <c r="I7" s="15">
        <f>IFERROR((_xlfn.MAXIFS('Input - Architecture'!$F$3:$F$50,'Input - Architecture'!$G$3:$G$50,"Experienced non-registered",'Input - Architecture'!$H$3:$H$50,"F",'Input - Architecture'!$I$3:$I$50,"NSW")),0)</f>
        <v>0</v>
      </c>
      <c r="J7" s="19">
        <f>COUNTIFS('Input - Architecture'!$G$3:$G$50,"Experienced non-registered",'Input - Architecture'!$H$3:$H$50,"F",'Input - Architecture'!$I$3:$I$50,"VIC")</f>
        <v>0</v>
      </c>
      <c r="K7" s="20">
        <f>IFERROR((AVERAGEIFS('Input - Architecture'!$F$3:$F$50,'Input - Architecture'!$G$3:$G$50,"Experienced non-registered",'Input - Architecture'!$H$3:$H$50,"F",'Input - Architecture'!$I$3:$I$50,"VIC")),0)</f>
        <v>0</v>
      </c>
      <c r="L7" s="20">
        <f>IFERROR((_xlfn.MINIFS('Input - Architecture'!$F$3:$F$50,'Input - Architecture'!$G$3:$G$50,"Experienced non-registered",'Input - Architecture'!$H$3:$H$50,"F",'Input - Architecture'!$I$3:$I$50,"VIC")),0)</f>
        <v>0</v>
      </c>
      <c r="M7" s="21">
        <f>IFERROR((_xlfn.MAXIFS('Input - Architecture'!$F$3:$F$50,'Input - Architecture'!$G$3:$G$50,"Experienced non-registered",'Input - Architecture'!$H$3:$H$50,"F",'Input - Architecture'!$I$3:$I$50,"VIC")),0)</f>
        <v>0</v>
      </c>
      <c r="N7" s="10">
        <f>COUNTIFS('Input - Architecture'!$G$3:$G$50,"Experienced non-registered",'Input - Architecture'!$H$3:$H$50,"F",'Input - Architecture'!$I$3:$I$50,"SA")</f>
        <v>0</v>
      </c>
      <c r="O7" s="12">
        <f>IFERROR((AVERAGEIFS('Input - Architecture'!$F$3:$F$50,'Input - Architecture'!$G$3:$G$50,"Experienced non-registered",'Input - Architecture'!$H$3:$H$50,"F",'Input - Architecture'!$I$3:$I$50,"SA")),0)</f>
        <v>0</v>
      </c>
      <c r="P7" s="12">
        <f>IFERROR((_xlfn.MINIFS('Input - Architecture'!$F$3:$F$50,'Input - Architecture'!$G$3:$G$50,"Experienced non-registered",'Input - Architecture'!$H$3:$H$50,"F",'Input - Architecture'!$I$3:$I$50,"SA")),0)</f>
        <v>0</v>
      </c>
      <c r="Q7" s="15">
        <f>IFERROR((_xlfn.MAXIFS('Input - Architecture'!$F$3:$F$50,'Input - Architecture'!$G$3:$G$50,"Experienced non-registered",'Input - Architecture'!$H$3:$H$50,"F",'Input - Architecture'!$I$3:$I$50,"SA")),0)</f>
        <v>0</v>
      </c>
      <c r="R7" s="19">
        <f>COUNTIFS('Input - Architecture'!$G$3:$G$50,"Experienced non-registered",'Input - Architecture'!$H$3:$H$50,"F",'Input - Architecture'!$I$3:$I$50,"WA")</f>
        <v>0</v>
      </c>
      <c r="S7" s="20">
        <f>IFERROR((AVERAGEIFS('Input - Architecture'!$F$3:$F$50,'Input - Architecture'!$G$3:$G$50,"Experienced non-registered",'Input - Architecture'!$H$3:$H$50,"F",'Input - Architecture'!$I$3:$I$50,"WA")),0)</f>
        <v>0</v>
      </c>
      <c r="T7" s="20">
        <f>IFERROR((_xlfn.MINIFS('Input - Architecture'!$F$3:$F$50,'Input - Architecture'!$G$3:$G$50,"Experienced non-registered",'Input - Architecture'!$H$3:$H$50,"F",'Input - Architecture'!$I$3:$I$50,"WA")),0)</f>
        <v>0</v>
      </c>
      <c r="U7" s="21">
        <f>IFERROR((_xlfn.MAXIFS('Input - Architecture'!$F$3:$F$50,'Input - Architecture'!$G$3:$G$50,"Experienced non-registered",'Input - Architecture'!$H$3:$H$50,"F",'Input - Architecture'!$I$3:$I$50,"WA")),0)</f>
        <v>0</v>
      </c>
      <c r="V7" s="10">
        <f>COUNTIFS('Input - Architecture'!$G$3:$G$50,"Experienced non-registered",'Input - Architecture'!$H$3:$H$50,"F",'Input - Architecture'!$I$3:$I$50,"TAS")</f>
        <v>0</v>
      </c>
      <c r="W7" s="12">
        <f>IFERROR((AVERAGEIFS('Input - Architecture'!$F$3:$F$50,'Input - Architecture'!$G$3:$G$50,"Experienced non-registered",'Input - Architecture'!$H$3:$H$50,"F",'Input - Architecture'!$I$3:$I$50,"TAS")),0)</f>
        <v>0</v>
      </c>
      <c r="X7" s="12">
        <f>IFERROR((_xlfn.MINIFS('Input - Architecture'!$F$3:$F$50,'Input - Architecture'!$G$3:$G$50,"Experienced non-registered",'Input - Architecture'!$H$3:$H$50,"F",'Input - Architecture'!$I$3:$I$50,"TAS")),0)</f>
        <v>0</v>
      </c>
      <c r="Y7" s="15">
        <f>IFERROR((_xlfn.MAXIFS('Input - Architecture'!$F$3:$F$50,'Input - Architecture'!$G$3:$G$50,"Experienced non-registered",'Input - Architecture'!$H$3:$H$50,"F",'Input - Architecture'!$I$3:$I$50,"TAS")),0)</f>
        <v>0</v>
      </c>
      <c r="Z7" s="19">
        <f>COUNTIFS('Input - Architecture'!$G$3:$G$50,"Experienced non-registered",'Input - Architecture'!$H$3:$H$50,"F",'Input - Architecture'!$I$3:$I$50,"NT")</f>
        <v>0</v>
      </c>
      <c r="AA7" s="20">
        <f>IFERROR((AVERAGEIFS('Input - Architecture'!$F$3:$F$50,'Input - Architecture'!$G$3:$G$50,"Experienced non-registered",'Input - Architecture'!$H$3:$H$50,"F",'Input - Architecture'!$I$3:$I$50,"NT")),0)</f>
        <v>0</v>
      </c>
      <c r="AB7" s="20">
        <f>IFERROR((_xlfn.MINIFS('Input - Architecture'!$F$3:$F$50,'Input - Architecture'!$G$3:$G$50,"Experienced non-registered",'Input - Architecture'!$H$3:$H$50,"F",'Input - Architecture'!$I$3:$I$50,"NT")),0)</f>
        <v>0</v>
      </c>
      <c r="AC7" s="21">
        <f>IFERROR((_xlfn.MAXIFS('Input - Architecture'!$F$3:$F$50,'Input - Architecture'!$G$3:$G$50,"Experienced non-registered",'Input - Architecture'!$H$3:$H$50,"F",'Input - Architecture'!$I$3:$I$50,"NT")),0)</f>
        <v>0</v>
      </c>
      <c r="AD7" s="10">
        <f>COUNTIFS('Input - Architecture'!$G$3:$G$50,"Experienced non-registered",'Input - Architecture'!$H$3:$H$50,"F",'Input - Architecture'!$I$3:$I$50,"ACT")</f>
        <v>0</v>
      </c>
      <c r="AE7" s="12">
        <f>IFERROR((AVERAGEIFS('Input - Architecture'!$F$3:$F$50,'Input - Architecture'!$G$3:$G$50,"Experienced non-registered",'Input - Architecture'!$H$3:$H$50,"F",'Input - Architecture'!$I$3:$I$50,"ACT")),0)</f>
        <v>0</v>
      </c>
      <c r="AF7" s="12">
        <f>IFERROR((_xlfn.MINIFS('Input - Architecture'!$F$3:$F$50,'Input - Architecture'!$G$3:$G$50,"Experienced non-registered",'Input - Architecture'!$H$3:$H$50,"F",'Input - Architecture'!$I$3:$I$50,"ACT")),0)</f>
        <v>0</v>
      </c>
      <c r="AG7" s="15">
        <f>IFERROR((_xlfn.MAXIFS('Input - Architecture'!$F$3:$F$50,'Input - Architecture'!$G$3:$G$50,"Experienced non-registered",'Input - Architecture'!$H$3:$H$50,"F",'Input - Architecture'!$I$3:$I$50,"ACT")),0)</f>
        <v>0</v>
      </c>
    </row>
    <row r="8" spans="1:33" x14ac:dyDescent="0.35">
      <c r="A8" s="11" t="s">
        <v>66</v>
      </c>
      <c r="B8" s="19">
        <f>COUNTIFS('Input - Architecture'!$G$3:$G$50,"Registered up to 3 years",'Input - Architecture'!$H$3:$H$50,"M",'Input - Architecture'!$I$3:$I$50,"QLD")</f>
        <v>0</v>
      </c>
      <c r="C8" s="20">
        <f>IFERROR((AVERAGEIFS('Input - Architecture'!$F$3:$F$50,'Input - Architecture'!$G$3:$G$50,"Registered up to 3 years",'Input - Architecture'!$H$3:$H$50,"M",'Input - Architecture'!$I$3:$I$50,"QLD")),0)</f>
        <v>0</v>
      </c>
      <c r="D8" s="20">
        <f>IFERROR((_xlfn.MINIFS('Input - Architecture'!$F$3:$F$50,'Input - Architecture'!$G$3:$G$50,"Registered up to 3 years",'Input - Architecture'!$H$3:$H$50,"M",'Input - Architecture'!$I$3:$I$50,"QLD")),0)</f>
        <v>0</v>
      </c>
      <c r="E8" s="21">
        <f>IFERROR((_xlfn.MAXIFS('Input - Architecture'!$F$3:$F$50,'Input - Architecture'!$G$3:$G$50,"Registered up to 3 years",'Input - Architecture'!$H$3:$H$50,"M",'Input - Architecture'!$I$3:$I$50,"QLD")),0)</f>
        <v>0</v>
      </c>
      <c r="F8" s="10">
        <f>COUNTIFS('Input - Architecture'!$G$3:$G$50,"Registered up to 3 years",'Input - Architecture'!$H$3:$H$50,"M",'Input - Architecture'!$I$3:$I$50,"NSW")</f>
        <v>0</v>
      </c>
      <c r="G8" s="12">
        <f>IFERROR((AVERAGEIFS('Input - Architecture'!$F$3:$F$50,'Input - Architecture'!$G$3:$G$50,"Registered up to 3 years",'Input - Architecture'!$H$3:$H$50,"M",'Input - Architecture'!$I$3:$I$50,"NSW")),0)</f>
        <v>0</v>
      </c>
      <c r="H8" s="12">
        <f>IFERROR((_xlfn.MINIFS('Input - Architecture'!$F$3:$F$50,'Input - Architecture'!$G$3:$G$50,"Registered up to 3 years",'Input - Architecture'!$H$3:$H$50,"M",'Input - Architecture'!$I$3:$I$50,"NSW")),0)</f>
        <v>0</v>
      </c>
      <c r="I8" s="15">
        <f>IFERROR((_xlfn.MAXIFS('Input - Architecture'!$F$3:$F$50,'Input - Architecture'!$G$3:$G$50,"Registered up to 3 years",'Input - Architecture'!$H$3:$H$50,"M",'Input - Architecture'!$I$3:$I$50,"NSW")),0)</f>
        <v>0</v>
      </c>
      <c r="J8" s="19">
        <f>COUNTIFS('Input - Architecture'!$G$3:$G$50,"Registered up to 3 years",'Input - Architecture'!$H$3:$H$50,"M",'Input - Architecture'!$I$3:$I$50,"VIC")</f>
        <v>0</v>
      </c>
      <c r="K8" s="20">
        <f>IFERROR((AVERAGEIFS('Input - Architecture'!$F$3:$F$50,'Input - Architecture'!$G$3:$G$50,"Registered up to 3 years",'Input - Architecture'!$H$3:$H$50,"M",'Input - Architecture'!$I$3:$I$50,"VIC")),0)</f>
        <v>0</v>
      </c>
      <c r="L8" s="20">
        <f>IFERROR((_xlfn.MINIFS('Input - Architecture'!$F$3:$F$50,'Input - Architecture'!$G$3:$G$50,"Registered up to 3 years",'Input - Architecture'!$H$3:$H$50,"M",'Input - Architecture'!$I$3:$I$50,"VIC")),0)</f>
        <v>0</v>
      </c>
      <c r="M8" s="21">
        <f>IFERROR((_xlfn.MAXIFS('Input - Architecture'!$F$3:$F$50,'Input - Architecture'!$G$3:$G$50,"Registered up to 3 years",'Input - Architecture'!$H$3:$H$50,"M",'Input - Architecture'!$I$3:$I$50,"VIC")),0)</f>
        <v>0</v>
      </c>
      <c r="N8" s="10">
        <f>COUNTIFS('Input - Architecture'!$G$3:$G$50,"Registered up to 3 years",'Input - Architecture'!$H$3:$H$50,"M",'Input - Architecture'!$I$3:$I$50,"SA")</f>
        <v>0</v>
      </c>
      <c r="O8" s="12">
        <f>IFERROR((AVERAGEIFS('Input - Architecture'!$F$3:$F$50,'Input - Architecture'!$G$3:$G$50,"Registered up to 3 years",'Input - Architecture'!$H$3:$H$50,"M",'Input - Architecture'!$I$3:$I$50,"SA")),0)</f>
        <v>0</v>
      </c>
      <c r="P8" s="12">
        <f>IFERROR((_xlfn.MINIFS('Input - Architecture'!$F$3:$F$50,'Input - Architecture'!$G$3:$G$50,"Registered up to 3 years",'Input - Architecture'!$H$3:$H$50,"M",'Input - Architecture'!$I$3:$I$50,"SA")),0)</f>
        <v>0</v>
      </c>
      <c r="Q8" s="15">
        <f>IFERROR((_xlfn.MAXIFS('Input - Architecture'!$F$3:$F$50,'Input - Architecture'!$G$3:$G$50,"Registered up to 3 years",'Input - Architecture'!$H$3:$H$50,"M",'Input - Architecture'!$I$3:$I$50,"SA")),0)</f>
        <v>0</v>
      </c>
      <c r="R8" s="19">
        <f>COUNTIFS('Input - Architecture'!$G$3:$G$50,"Registered up to 3 years",'Input - Architecture'!$H$3:$H$50,"M",'Input - Architecture'!$I$3:$I$50,"WA")</f>
        <v>0</v>
      </c>
      <c r="S8" s="20">
        <f>IFERROR((AVERAGEIFS('Input - Architecture'!$F$3:$F$50,'Input - Architecture'!$G$3:$G$50,"Registered up to 3 years",'Input - Architecture'!$H$3:$H$50,"M",'Input - Architecture'!$I$3:$I$50,"WA")),0)</f>
        <v>0</v>
      </c>
      <c r="T8" s="20">
        <f>IFERROR((_xlfn.MINIFS('Input - Architecture'!$F$3:$F$50,'Input - Architecture'!$G$3:$G$50,"Registered up to 3 years",'Input - Architecture'!$H$3:$H$50,"M",'Input - Architecture'!$I$3:$I$50,"WA")),0)</f>
        <v>0</v>
      </c>
      <c r="U8" s="21">
        <f>IFERROR((_xlfn.MAXIFS('Input - Architecture'!$F$3:$F$50,'Input - Architecture'!$G$3:$G$50,"Registered up to 3 years",'Input - Architecture'!$H$3:$H$50,"M",'Input - Architecture'!$I$3:$I$50,"WA")),0)</f>
        <v>0</v>
      </c>
      <c r="V8" s="10">
        <f>COUNTIFS('Input - Architecture'!$G$3:$G$50,"Registered up to 3 years",'Input - Architecture'!$H$3:$H$50,"M",'Input - Architecture'!$I$3:$I$50,"TAS")</f>
        <v>0</v>
      </c>
      <c r="W8" s="12">
        <f>IFERROR((AVERAGEIFS('Input - Architecture'!$F$3:$F$50,'Input - Architecture'!$G$3:$G$50,"Registered up to 3 years",'Input - Architecture'!$H$3:$H$50,"M",'Input - Architecture'!$I$3:$I$50,"TAS")),0)</f>
        <v>0</v>
      </c>
      <c r="X8" s="12">
        <f>IFERROR((_xlfn.MINIFS('Input - Architecture'!$F$3:$F$50,'Input - Architecture'!$G$3:$G$50,"Registered up to 3 years",'Input - Architecture'!$H$3:$H$50,"M",'Input - Architecture'!$I$3:$I$50,"TAS")),0)</f>
        <v>0</v>
      </c>
      <c r="Y8" s="15">
        <f>IFERROR((_xlfn.MAXIFS('Input - Architecture'!$F$3:$F$50,'Input - Architecture'!$G$3:$G$50,"Registered up to 3 years",'Input - Architecture'!$H$3:$H$50,"M",'Input - Architecture'!$I$3:$I$50,"TAS")),0)</f>
        <v>0</v>
      </c>
      <c r="Z8" s="19">
        <f>COUNTIFS('Input - Architecture'!$G$3:$G$50,"Registered up to 3 years",'Input - Architecture'!$H$3:$H$50,"M",'Input - Architecture'!$I$3:$I$50,"NT")</f>
        <v>0</v>
      </c>
      <c r="AA8" s="20">
        <f>IFERROR((AVERAGEIFS('Input - Architecture'!$F$3:$F$50,'Input - Architecture'!$G$3:$G$50,"Registered up to 3 years",'Input - Architecture'!$H$3:$H$50,"M",'Input - Architecture'!$I$3:$I$50,"NT")),0)</f>
        <v>0</v>
      </c>
      <c r="AB8" s="20">
        <f>IFERROR((_xlfn.MINIFS('Input - Architecture'!$F$3:$F$50,'Input - Architecture'!$G$3:$G$50,"Registered up to 3 years",'Input - Architecture'!$H$3:$H$50,"M",'Input - Architecture'!$I$3:$I$50,"NT")),0)</f>
        <v>0</v>
      </c>
      <c r="AC8" s="21">
        <f>IFERROR((_xlfn.MAXIFS('Input - Architecture'!$F$3:$F$50,'Input - Architecture'!$G$3:$G$50,"Registered up to 3 years",'Input - Architecture'!$H$3:$H$50,"M",'Input - Architecture'!$I$3:$I$50,"NT")),0)</f>
        <v>0</v>
      </c>
      <c r="AD8" s="10">
        <f>COUNTIFS('Input - Architecture'!$G$3:$G$50,"Registered up to 3 years",'Input - Architecture'!$H$3:$H$50,"M",'Input - Architecture'!$I$3:$I$50,"ACT")</f>
        <v>0</v>
      </c>
      <c r="AE8" s="12">
        <f>IFERROR((AVERAGEIFS('Input - Architecture'!$F$3:$F$50,'Input - Architecture'!$G$3:$G$50,"Registered up to 3 years",'Input - Architecture'!$H$3:$H$50,"M",'Input - Architecture'!$I$3:$I$50,"ACT")),0)</f>
        <v>0</v>
      </c>
      <c r="AF8" s="12">
        <f>IFERROR((_xlfn.MINIFS('Input - Architecture'!$F$3:$F$50,'Input - Architecture'!$G$3:$G$50,"Registered up to 3 years",'Input - Architecture'!$H$3:$H$50,"M",'Input - Architecture'!$I$3:$I$50,"ACT")),0)</f>
        <v>0</v>
      </c>
      <c r="AG8" s="15">
        <f>IFERROR((_xlfn.MAXIFS('Input - Architecture'!$F$3:$F$50,'Input - Architecture'!$G$3:$G$50,"Registered up to 3 years",'Input - Architecture'!$H$3:$H$50,"M",'Input - Architecture'!$I$3:$I$50,"ACT")),0)</f>
        <v>0</v>
      </c>
    </row>
    <row r="9" spans="1:33" x14ac:dyDescent="0.35">
      <c r="A9" s="11" t="s">
        <v>67</v>
      </c>
      <c r="B9" s="19">
        <f>COUNTIFS('Input - Architecture'!$G$3:$G$50,"Registered up to 3 years",'Input - Architecture'!$H$3:$H$50,"F",'Input - Architecture'!$I$3:$I$50,"QLD")</f>
        <v>0</v>
      </c>
      <c r="C9" s="20">
        <f>IFERROR((AVERAGEIFS('Input - Architecture'!$F$3:$F$50,'Input - Architecture'!$G$3:$G$50,"Registered up to 3 years",'Input - Architecture'!$H$3:$H$50,"F",'Input - Architecture'!$I$3:$I$50,"QLD")),0)</f>
        <v>0</v>
      </c>
      <c r="D9" s="20">
        <f>IFERROR((_xlfn.MINIFS('Input - Architecture'!$F$3:$F$50,'Input - Architecture'!$G$3:$G$50,"Registered up to 3 years",'Input - Architecture'!$H$3:$H$50,"F",'Input - Architecture'!$I$3:$I$50,"QLD")),0)</f>
        <v>0</v>
      </c>
      <c r="E9" s="21">
        <f>IFERROR((_xlfn.MAXIFS('Input - Architecture'!$F$3:$F$50,'Input - Architecture'!$G$3:$G$50,"Registered up to 3 years",'Input - Architecture'!$H$3:$H$50,"F",'Input - Architecture'!$I$3:$I$50,"QLD")),0)</f>
        <v>0</v>
      </c>
      <c r="F9" s="10">
        <f>COUNTIFS('Input - Architecture'!$G$3:$G$50,"Registered up to 3 years",'Input - Architecture'!$H$3:$H$50,"F",'Input - Architecture'!$I$3:$I$50,"NSW")</f>
        <v>0</v>
      </c>
      <c r="G9" s="12">
        <f>IFERROR((AVERAGEIFS('Input - Architecture'!$F$3:$F$50,'Input - Architecture'!$G$3:$G$50,"Registered up to 3 years",'Input - Architecture'!$H$3:$H$50,"F",'Input - Architecture'!$I$3:$I$50,"NSW")),0)</f>
        <v>0</v>
      </c>
      <c r="H9" s="12">
        <f>IFERROR((_xlfn.MINIFS('Input - Architecture'!$F$3:$F$50,'Input - Architecture'!$G$3:$G$50,"Registered up to 3 years",'Input - Architecture'!$H$3:$H$50,"F",'Input - Architecture'!$I$3:$I$50,"NSW")),0)</f>
        <v>0</v>
      </c>
      <c r="I9" s="15">
        <f>IFERROR((_xlfn.MAXIFS('Input - Architecture'!$F$3:$F$50,'Input - Architecture'!$G$3:$G$50,"Registered up to 3 years",'Input - Architecture'!$H$3:$H$50,"F",'Input - Architecture'!$I$3:$I$50,"NSW")),0)</f>
        <v>0</v>
      </c>
      <c r="J9" s="19">
        <f>COUNTIFS('Input - Architecture'!$G$3:$G$50,"Registered up to 3 years",'Input - Architecture'!$H$3:$H$50,"F",'Input - Architecture'!$I$3:$I$50,"VIC")</f>
        <v>0</v>
      </c>
      <c r="K9" s="20">
        <f>IFERROR((AVERAGEIFS('Input - Architecture'!$F$3:$F$50,'Input - Architecture'!$G$3:$G$50,"Registered up to 3 years",'Input - Architecture'!$H$3:$H$50,"F",'Input - Architecture'!$I$3:$I$50,"VIC")),0)</f>
        <v>0</v>
      </c>
      <c r="L9" s="20">
        <f>IFERROR((_xlfn.MINIFS('Input - Architecture'!$F$3:$F$50,'Input - Architecture'!$G$3:$G$50,"Registered up to 3 years",'Input - Architecture'!$H$3:$H$50,"F",'Input - Architecture'!$I$3:$I$50,"VIC")),0)</f>
        <v>0</v>
      </c>
      <c r="M9" s="21">
        <f>IFERROR((_xlfn.MAXIFS('Input - Architecture'!$F$3:$F$50,'Input - Architecture'!$G$3:$G$50,"Registered up to 3 years",'Input - Architecture'!$H$3:$H$50,"F",'Input - Architecture'!$I$3:$I$50,"VIC")),0)</f>
        <v>0</v>
      </c>
      <c r="N9" s="10">
        <f>COUNTIFS('Input - Architecture'!$G$3:$G$50,"Registered up to 3 years",'Input - Architecture'!$H$3:$H$50,"F",'Input - Architecture'!$I$3:$I$50,"SA")</f>
        <v>0</v>
      </c>
      <c r="O9" s="12">
        <f>IFERROR((AVERAGEIFS('Input - Architecture'!$F$3:$F$50,'Input - Architecture'!$G$3:$G$50,"Registered up to 3 years",'Input - Architecture'!$H$3:$H$50,"F",'Input - Architecture'!$I$3:$I$50,"SA")),0)</f>
        <v>0</v>
      </c>
      <c r="P9" s="12">
        <f>IFERROR((_xlfn.MINIFS('Input - Architecture'!$F$3:$F$50,'Input - Architecture'!$G$3:$G$50,"Registered up to 3 years",'Input - Architecture'!$H$3:$H$50,"F",'Input - Architecture'!$I$3:$I$50,"SA")),0)</f>
        <v>0</v>
      </c>
      <c r="Q9" s="15">
        <f>IFERROR((_xlfn.MAXIFS('Input - Architecture'!$F$3:$F$50,'Input - Architecture'!$G$3:$G$50,"Registered up to 3 years",'Input - Architecture'!$H$3:$H$50,"F",'Input - Architecture'!$I$3:$I$50,"SA")),0)</f>
        <v>0</v>
      </c>
      <c r="R9" s="19">
        <f>COUNTIFS('Input - Architecture'!$G$3:$G$50,"Registered up to 3 years",'Input - Architecture'!$H$3:$H$50,"F",'Input - Architecture'!$I$3:$I$50,"WA")</f>
        <v>0</v>
      </c>
      <c r="S9" s="20">
        <f>IFERROR((AVERAGEIFS('Input - Architecture'!$F$3:$F$50,'Input - Architecture'!$G$3:$G$50,"Registered up to 3 years",'Input - Architecture'!$H$3:$H$50,"F",'Input - Architecture'!$I$3:$I$50,"WA")),0)</f>
        <v>0</v>
      </c>
      <c r="T9" s="20">
        <f>IFERROR((_xlfn.MINIFS('Input - Architecture'!$F$3:$F$50,'Input - Architecture'!$G$3:$G$50,"Registered up to 3 years",'Input - Architecture'!$H$3:$H$50,"F",'Input - Architecture'!$I$3:$I$50,"WA")),0)</f>
        <v>0</v>
      </c>
      <c r="U9" s="21">
        <f>IFERROR((_xlfn.MAXIFS('Input - Architecture'!$F$3:$F$50,'Input - Architecture'!$G$3:$G$50,"Registered up to 3 years",'Input - Architecture'!$H$3:$H$50,"F",'Input - Architecture'!$I$3:$I$50,"WA")),0)</f>
        <v>0</v>
      </c>
      <c r="V9" s="10">
        <f>COUNTIFS('Input - Architecture'!$G$3:$G$50,"Registered up to 3 years",'Input - Architecture'!$H$3:$H$50,"F",'Input - Architecture'!$I$3:$I$50,"TAS")</f>
        <v>0</v>
      </c>
      <c r="W9" s="12">
        <f>IFERROR((AVERAGEIFS('Input - Architecture'!$F$3:$F$50,'Input - Architecture'!$G$3:$G$50,"Registered up to 3 years",'Input - Architecture'!$H$3:$H$50,"F",'Input - Architecture'!$I$3:$I$50,"TAS")),0)</f>
        <v>0</v>
      </c>
      <c r="X9" s="12">
        <f>IFERROR((_xlfn.MINIFS('Input - Architecture'!$F$3:$F$50,'Input - Architecture'!$G$3:$G$50,"Registered up to 3 years",'Input - Architecture'!$H$3:$H$50,"F",'Input - Architecture'!$I$3:$I$50,"TAS")),0)</f>
        <v>0</v>
      </c>
      <c r="Y9" s="15">
        <f>IFERROR((_xlfn.MAXIFS('Input - Architecture'!$F$3:$F$50,'Input - Architecture'!$G$3:$G$50,"Registered up to 3 years",'Input - Architecture'!$H$3:$H$50,"F",'Input - Architecture'!$I$3:$I$50,"TAS")),0)</f>
        <v>0</v>
      </c>
      <c r="Z9" s="19">
        <f>COUNTIFS('Input - Architecture'!$G$3:$G$50,"Registered up to 3 years",'Input - Architecture'!$H$3:$H$50,"F",'Input - Architecture'!$I$3:$I$50,"NT")</f>
        <v>0</v>
      </c>
      <c r="AA9" s="20">
        <f>IFERROR((AVERAGEIFS('Input - Architecture'!$F$3:$F$50,'Input - Architecture'!$G$3:$G$50,"Registered up to 3 years",'Input - Architecture'!$H$3:$H$50,"F",'Input - Architecture'!$I$3:$I$50,"NT")),0)</f>
        <v>0</v>
      </c>
      <c r="AB9" s="20">
        <f>IFERROR((_xlfn.MINIFS('Input - Architecture'!$F$3:$F$50,'Input - Architecture'!$G$3:$G$50,"Registered up to 3 years",'Input - Architecture'!$H$3:$H$50,"F",'Input - Architecture'!$I$3:$I$50,"NT")),0)</f>
        <v>0</v>
      </c>
      <c r="AC9" s="21">
        <f>IFERROR((_xlfn.MAXIFS('Input - Architecture'!$F$3:$F$50,'Input - Architecture'!$G$3:$G$50,"Registered up to 3 years",'Input - Architecture'!$H$3:$H$50,"F",'Input - Architecture'!$I$3:$I$50,"NT")),0)</f>
        <v>0</v>
      </c>
      <c r="AD9" s="10">
        <f>COUNTIFS('Input - Architecture'!$G$3:$G$50,"Registered up to 3 years",'Input - Architecture'!$H$3:$H$50,"F",'Input - Architecture'!$I$3:$I$50,"ACT")</f>
        <v>0</v>
      </c>
      <c r="AE9" s="12">
        <f>IFERROR((AVERAGEIFS('Input - Architecture'!$F$3:$F$50,'Input - Architecture'!$G$3:$G$50,"Registered up to 3 years",'Input - Architecture'!$H$3:$H$50,"F",'Input - Architecture'!$I$3:$I$50,"ACT")),0)</f>
        <v>0</v>
      </c>
      <c r="AF9" s="12">
        <f>IFERROR((_xlfn.MINIFS('Input - Architecture'!$F$3:$F$50,'Input - Architecture'!$G$3:$G$50,"Registered up to 3 years",'Input - Architecture'!$H$3:$H$50,"F",'Input - Architecture'!$I$3:$I$50,"ACT")),0)</f>
        <v>0</v>
      </c>
      <c r="AG9" s="15">
        <f>IFERROR((_xlfn.MAXIFS('Input - Architecture'!$F$3:$F$50,'Input - Architecture'!$G$3:$G$50,"Registered up to 3 years",'Input - Architecture'!$H$3:$H$50,"F",'Input - Architecture'!$I$3:$I$50,"ACT")),0)</f>
        <v>0</v>
      </c>
    </row>
    <row r="10" spans="1:33" x14ac:dyDescent="0.35">
      <c r="A10" s="11" t="s">
        <v>68</v>
      </c>
      <c r="B10" s="19">
        <f>COUNTIFS('Input - Architecture'!$G$3:$G$50,"Registered up to 6 years",'Input - Architecture'!$H$3:$H$50,"M",'Input - Architecture'!$I$3:$I$50,"QLD")</f>
        <v>0</v>
      </c>
      <c r="C10" s="20">
        <f>IFERROR((AVERAGEIFS('Input - Architecture'!$F$3:$F$50,'Input - Architecture'!$G$3:$G$50,"Registered up to 6 years",'Input - Architecture'!$H$3:$H$50,"M",'Input - Architecture'!$I$3:$I$50,"QLD")),0)</f>
        <v>0</v>
      </c>
      <c r="D10" s="20">
        <f>IFERROR((_xlfn.MINIFS('Input - Architecture'!$F$3:$F$50,'Input - Architecture'!$G$3:$G$50,"Registered up to 6 years",'Input - Architecture'!$H$3:$H$50,"M",'Input - Architecture'!$I$3:$I$50,"QLD")),0)</f>
        <v>0</v>
      </c>
      <c r="E10" s="21">
        <f>IFERROR((_xlfn.MAXIFS('Input - Architecture'!$F$3:$F$50,'Input - Architecture'!$G$3:$G$50,"Registered up to 6 years",'Input - Architecture'!$H$3:$H$50,"M",'Input - Architecture'!$I$3:$I$50,"QLD")),0)</f>
        <v>0</v>
      </c>
      <c r="F10" s="10">
        <f>COUNTIFS('Input - Architecture'!$G$3:$G$50,"Registered up to 6 years",'Input - Architecture'!$H$3:$H$50,"M",'Input - Architecture'!$I$3:$I$50,"NSW")</f>
        <v>0</v>
      </c>
      <c r="G10" s="12">
        <f>IFERROR((AVERAGEIFS('Input - Architecture'!$F$3:$F$50,'Input - Architecture'!$G$3:$G$50,"Registered up to 6 years",'Input - Architecture'!$H$3:$H$50,"M",'Input - Architecture'!$I$3:$I$50,"NSW")),0)</f>
        <v>0</v>
      </c>
      <c r="H10" s="12">
        <f>IFERROR((_xlfn.MINIFS('Input - Architecture'!$F$3:$F$50,'Input - Architecture'!$G$3:$G$50,"Registered up to 6 years",'Input - Architecture'!$H$3:$H$50,"M",'Input - Architecture'!$I$3:$I$50,"NSW")),0)</f>
        <v>0</v>
      </c>
      <c r="I10" s="15">
        <f>IFERROR((_xlfn.MAXIFS('Input - Architecture'!$F$3:$F$50,'Input - Architecture'!$G$3:$G$50,"Registered up to 6 years",'Input - Architecture'!$H$3:$H$50,"M",'Input - Architecture'!$I$3:$I$50,"NSW")),0)</f>
        <v>0</v>
      </c>
      <c r="J10" s="19">
        <f>COUNTIFS('Input - Architecture'!$G$3:$G$50,"Registered up to 6 years",'Input - Architecture'!$H$3:$H$50,"M",'Input - Architecture'!$I$3:$I$50,"VIC")</f>
        <v>0</v>
      </c>
      <c r="K10" s="20">
        <f>IFERROR((AVERAGEIFS('Input - Architecture'!$F$3:$F$50,'Input - Architecture'!$G$3:$G$50,"Registered up to 6 years",'Input - Architecture'!$H$3:$H$50,"M",'Input - Architecture'!$I$3:$I$50,"VIC")),0)</f>
        <v>0</v>
      </c>
      <c r="L10" s="20">
        <f>IFERROR((_xlfn.MINIFS('Input - Architecture'!$F$3:$F$50,'Input - Architecture'!$G$3:$G$50,"Registered up to 6 years",'Input - Architecture'!$H$3:$H$50,"M",'Input - Architecture'!$I$3:$I$50,"VIC")),0)</f>
        <v>0</v>
      </c>
      <c r="M10" s="21">
        <f>IFERROR((_xlfn.MAXIFS('Input - Architecture'!$F$3:$F$50,'Input - Architecture'!$G$3:$G$50,"Registered up to 6 years",'Input - Architecture'!$H$3:$H$50,"M",'Input - Architecture'!$I$3:$I$50,"VIC")),0)</f>
        <v>0</v>
      </c>
      <c r="N10" s="10">
        <f>COUNTIFS('Input - Architecture'!$G$3:$G$50,"Registered up to 6 years",'Input - Architecture'!$H$3:$H$50,"M",'Input - Architecture'!$I$3:$I$50,"SA")</f>
        <v>0</v>
      </c>
      <c r="O10" s="12">
        <f>IFERROR((AVERAGEIFS('Input - Architecture'!$F$3:$F$50,'Input - Architecture'!$G$3:$G$50,"Registered up to 6 years",'Input - Architecture'!$H$3:$H$50,"M",'Input - Architecture'!$I$3:$I$50,"SA")),0)</f>
        <v>0</v>
      </c>
      <c r="P10" s="12">
        <f>IFERROR((_xlfn.MINIFS('Input - Architecture'!$F$3:$F$50,'Input - Architecture'!$G$3:$G$50,"Registered up to 6 years",'Input - Architecture'!$H$3:$H$50,"M",'Input - Architecture'!$I$3:$I$50,"SA")),0)</f>
        <v>0</v>
      </c>
      <c r="Q10" s="15">
        <f>IFERROR((_xlfn.MAXIFS('Input - Architecture'!$F$3:$F$50,'Input - Architecture'!$G$3:$G$50,"Registered up to 6 years",'Input - Architecture'!$H$3:$H$50,"M",'Input - Architecture'!$I$3:$I$50,"SA")),0)</f>
        <v>0</v>
      </c>
      <c r="R10" s="19">
        <f>COUNTIFS('Input - Architecture'!$G$3:$G$50,"Registered up to 6 years",'Input - Architecture'!$H$3:$H$50,"M",'Input - Architecture'!$I$3:$I$50,"WA")</f>
        <v>0</v>
      </c>
      <c r="S10" s="20">
        <f>IFERROR((AVERAGEIFS('Input - Architecture'!$F$3:$F$50,'Input - Architecture'!$G$3:$G$50,"Registered up to 6 years",'Input - Architecture'!$H$3:$H$50,"M",'Input - Architecture'!$I$3:$I$50,"WA")),0)</f>
        <v>0</v>
      </c>
      <c r="T10" s="20">
        <f>IFERROR((_xlfn.MINIFS('Input - Architecture'!$F$3:$F$50,'Input - Architecture'!$G$3:$G$50,"Registered up to 6 years",'Input - Architecture'!$H$3:$H$50,"M",'Input - Architecture'!$I$3:$I$50,"WA")),0)</f>
        <v>0</v>
      </c>
      <c r="U10" s="21">
        <f>IFERROR((_xlfn.MAXIFS('Input - Architecture'!$F$3:$F$50,'Input - Architecture'!$G$3:$G$50,"Registered up to 6 years",'Input - Architecture'!$H$3:$H$50,"M",'Input - Architecture'!$I$3:$I$50,"WA")),0)</f>
        <v>0</v>
      </c>
      <c r="V10" s="10">
        <f>COUNTIFS('Input - Architecture'!$G$3:$G$50,"Registered up to 6 years",'Input - Architecture'!$H$3:$H$50,"M",'Input - Architecture'!$I$3:$I$50,"TAS")</f>
        <v>0</v>
      </c>
      <c r="W10" s="12">
        <f>IFERROR((AVERAGEIFS('Input - Architecture'!$F$3:$F$50,'Input - Architecture'!$G$3:$G$50,"Registered up to 6 years",'Input - Architecture'!$H$3:$H$50,"M",'Input - Architecture'!$I$3:$I$50,"TAS")),0)</f>
        <v>0</v>
      </c>
      <c r="X10" s="12">
        <f>IFERROR((_xlfn.MINIFS('Input - Architecture'!$F$3:$F$50,'Input - Architecture'!$G$3:$G$50,"Registered up to 6 years",'Input - Architecture'!$H$3:$H$50,"M",'Input - Architecture'!$I$3:$I$50,"TAS")),0)</f>
        <v>0</v>
      </c>
      <c r="Y10" s="15">
        <f>IFERROR((_xlfn.MAXIFS('Input - Architecture'!$F$3:$F$50,'Input - Architecture'!$G$3:$G$50,"Registered up to 6 years",'Input - Architecture'!$H$3:$H$50,"M",'Input - Architecture'!$I$3:$I$50,"TAS")),0)</f>
        <v>0</v>
      </c>
      <c r="Z10" s="19">
        <f>COUNTIFS('Input - Architecture'!$G$3:$G$50,"Registered up to 6 years",'Input - Architecture'!$H$3:$H$50,"M",'Input - Architecture'!$I$3:$I$50,"NT")</f>
        <v>0</v>
      </c>
      <c r="AA10" s="20">
        <f>IFERROR((AVERAGEIFS('Input - Architecture'!$F$3:$F$50,'Input - Architecture'!$G$3:$G$50,"Registered up to 6 years",'Input - Architecture'!$H$3:$H$50,"M",'Input - Architecture'!$I$3:$I$50,"NT")),0)</f>
        <v>0</v>
      </c>
      <c r="AB10" s="20">
        <f>IFERROR((_xlfn.MINIFS('Input - Architecture'!$F$3:$F$50,'Input - Architecture'!$G$3:$G$50,"Registered up to 6 years",'Input - Architecture'!$H$3:$H$50,"M",'Input - Architecture'!$I$3:$I$50,"NT")),0)</f>
        <v>0</v>
      </c>
      <c r="AC10" s="21">
        <f>IFERROR((_xlfn.MAXIFS('Input - Architecture'!$F$3:$F$50,'Input - Architecture'!$G$3:$G$50,"Registered up to 6 years",'Input - Architecture'!$H$3:$H$50,"M",'Input - Architecture'!$I$3:$I$50,"NT")),0)</f>
        <v>0</v>
      </c>
      <c r="AD10" s="10">
        <f>COUNTIFS('Input - Architecture'!$G$3:$G$50,"Registered up to 6 years",'Input - Architecture'!$H$3:$H$50,"M",'Input - Architecture'!$I$3:$I$50,"ACT")</f>
        <v>0</v>
      </c>
      <c r="AE10" s="12">
        <f>IFERROR((AVERAGEIFS('Input - Architecture'!$F$3:$F$50,'Input - Architecture'!$G$3:$G$50,"Registered up to 6 years",'Input - Architecture'!$H$3:$H$50,"M",'Input - Architecture'!$I$3:$I$50,"ACT")),0)</f>
        <v>0</v>
      </c>
      <c r="AF10" s="12">
        <f>IFERROR((_xlfn.MINIFS('Input - Architecture'!$F$3:$F$50,'Input - Architecture'!$G$3:$G$50,"Registered up to 6 years",'Input - Architecture'!$H$3:$H$50,"M",'Input - Architecture'!$I$3:$I$50,"ACT")),0)</f>
        <v>0</v>
      </c>
      <c r="AG10" s="15">
        <f>IFERROR((_xlfn.MAXIFS('Input - Architecture'!$F$3:$F$50,'Input - Architecture'!$G$3:$G$50,"Registered up to 6 years",'Input - Architecture'!$H$3:$H$50,"M",'Input - Architecture'!$I$3:$I$50,"ACT")),0)</f>
        <v>0</v>
      </c>
    </row>
    <row r="11" spans="1:33" x14ac:dyDescent="0.35">
      <c r="A11" s="11" t="s">
        <v>69</v>
      </c>
      <c r="B11" s="19">
        <f>COUNTIFS('Input - Architecture'!$G$3:$G$50,"Registered up to 6 years",'Input - Architecture'!$H$3:$H$50,"F",'Input - Architecture'!$I$3:$I$50,"QLD")</f>
        <v>0</v>
      </c>
      <c r="C11" s="20">
        <f>IFERROR((AVERAGEIFS('Input - Architecture'!$F$3:$F$50,'Input - Architecture'!$G$3:$G$50,"Registered up to 6 years",'Input - Architecture'!$H$3:$H$50,"F",'Input - Architecture'!$I$3:$I$50,"QLD")),0)</f>
        <v>0</v>
      </c>
      <c r="D11" s="20">
        <f>IFERROR((_xlfn.MINIFS('Input - Architecture'!$F$3:$F$50,'Input - Architecture'!$G$3:$G$50,"Registered up to 6 years",'Input - Architecture'!$H$3:$H$50,"F",'Input - Architecture'!$I$3:$I$50,"QLD")),0)</f>
        <v>0</v>
      </c>
      <c r="E11" s="21">
        <f>IFERROR((_xlfn.MAXIFS('Input - Architecture'!$F$3:$F$50,'Input - Architecture'!$G$3:$G$50,"Registered up to 6 years",'Input - Architecture'!$H$3:$H$50,"F",'Input - Architecture'!$I$3:$I$50,"QLD")),0)</f>
        <v>0</v>
      </c>
      <c r="F11" s="10">
        <f>COUNTIFS('Input - Architecture'!$G$3:$G$50,"Registered up to 6 years",'Input - Architecture'!$H$3:$H$50,"F",'Input - Architecture'!$I$3:$I$50,"NSW")</f>
        <v>0</v>
      </c>
      <c r="G11" s="12">
        <f>IFERROR((AVERAGEIFS('Input - Architecture'!$F$3:$F$50,'Input - Architecture'!$G$3:$G$50,"Registered up to 6 years",'Input - Architecture'!$H$3:$H$50,"F",'Input - Architecture'!$I$3:$I$50,"NSW")),0)</f>
        <v>0</v>
      </c>
      <c r="H11" s="12">
        <f>IFERROR((_xlfn.MINIFS('Input - Architecture'!$F$3:$F$50,'Input - Architecture'!$G$3:$G$50,"Registered up to 6 years",'Input - Architecture'!$H$3:$H$50,"F",'Input - Architecture'!$I$3:$I$50,"NSW")),0)</f>
        <v>0</v>
      </c>
      <c r="I11" s="15">
        <f>IFERROR((_xlfn.MAXIFS('Input - Architecture'!$F$3:$F$50,'Input - Architecture'!$G$3:$G$50,"Registered up to 6 years",'Input - Architecture'!$H$3:$H$50,"F",'Input - Architecture'!$I$3:$I$50,"NSW")),0)</f>
        <v>0</v>
      </c>
      <c r="J11" s="19">
        <f>COUNTIFS('Input - Architecture'!$G$3:$G$50,"Registered up to 6 years",'Input - Architecture'!$H$3:$H$50,"F",'Input - Architecture'!$I$3:$I$50,"VIC")</f>
        <v>0</v>
      </c>
      <c r="K11" s="20">
        <f>IFERROR((AVERAGEIFS('Input - Architecture'!$F$3:$F$50,'Input - Architecture'!$G$3:$G$50,"Registered up to 6 years",'Input - Architecture'!$H$3:$H$50,"F",'Input - Architecture'!$I$3:$I$50,"VIC")),0)</f>
        <v>0</v>
      </c>
      <c r="L11" s="20">
        <f>IFERROR((_xlfn.MINIFS('Input - Architecture'!$F$3:$F$50,'Input - Architecture'!$G$3:$G$50,"Registered up to 6 years",'Input - Architecture'!$H$3:$H$50,"F",'Input - Architecture'!$I$3:$I$50,"VIC")),0)</f>
        <v>0</v>
      </c>
      <c r="M11" s="21">
        <f>IFERROR((_xlfn.MAXIFS('Input - Architecture'!$F$3:$F$50,'Input - Architecture'!$G$3:$G$50,"Registered up to 6 years",'Input - Architecture'!$H$3:$H$50,"F",'Input - Architecture'!$I$3:$I$50,"VIC")),0)</f>
        <v>0</v>
      </c>
      <c r="N11" s="10">
        <f>COUNTIFS('Input - Architecture'!$G$3:$G$50,"Registered up to 6 years",'Input - Architecture'!$H$3:$H$50,"F",'Input - Architecture'!$I$3:$I$50,"SA")</f>
        <v>0</v>
      </c>
      <c r="O11" s="12">
        <f>IFERROR((AVERAGEIFS('Input - Architecture'!$F$3:$F$50,'Input - Architecture'!$G$3:$G$50,"Registered up to 6 years",'Input - Architecture'!$H$3:$H$50,"F",'Input - Architecture'!$I$3:$I$50,"SA")),0)</f>
        <v>0</v>
      </c>
      <c r="P11" s="12">
        <f>IFERROR((_xlfn.MINIFS('Input - Architecture'!$F$3:$F$50,'Input - Architecture'!$G$3:$G$50,"Registered up to 6 years",'Input - Architecture'!$H$3:$H$50,"F",'Input - Architecture'!$I$3:$I$50,"SA")),0)</f>
        <v>0</v>
      </c>
      <c r="Q11" s="15">
        <f>IFERROR((_xlfn.MAXIFS('Input - Architecture'!$F$3:$F$50,'Input - Architecture'!$G$3:$G$50,"Registered up to 6 years",'Input - Architecture'!$H$3:$H$50,"F",'Input - Architecture'!$I$3:$I$50,"SA")),0)</f>
        <v>0</v>
      </c>
      <c r="R11" s="19">
        <f>COUNTIFS('Input - Architecture'!$G$3:$G$50,"Registered up to 6 years",'Input - Architecture'!$H$3:$H$50,"F",'Input - Architecture'!$I$3:$I$50,"WA")</f>
        <v>0</v>
      </c>
      <c r="S11" s="20">
        <f>IFERROR((AVERAGEIFS('Input - Architecture'!$F$3:$F$50,'Input - Architecture'!$G$3:$G$50,"Registered up to 6 years",'Input - Architecture'!$H$3:$H$50,"F",'Input - Architecture'!$I$3:$I$50,"WA")),0)</f>
        <v>0</v>
      </c>
      <c r="T11" s="20">
        <f>IFERROR((_xlfn.MINIFS('Input - Architecture'!$F$3:$F$50,'Input - Architecture'!$G$3:$G$50,"Registered up to 6 years",'Input - Architecture'!$H$3:$H$50,"F",'Input - Architecture'!$I$3:$I$50,"WA")),0)</f>
        <v>0</v>
      </c>
      <c r="U11" s="21">
        <f>IFERROR((_xlfn.MAXIFS('Input - Architecture'!$F$3:$F$50,'Input - Architecture'!$G$3:$G$50,"Registered up to 6 years",'Input - Architecture'!$H$3:$H$50,"F",'Input - Architecture'!$I$3:$I$50,"WA")),0)</f>
        <v>0</v>
      </c>
      <c r="V11" s="10">
        <f>COUNTIFS('Input - Architecture'!$G$3:$G$50,"Registered up to 6 years",'Input - Architecture'!$H$3:$H$50,"F",'Input - Architecture'!$I$3:$I$50,"TAS")</f>
        <v>0</v>
      </c>
      <c r="W11" s="12">
        <f>IFERROR((AVERAGEIFS('Input - Architecture'!$F$3:$F$50,'Input - Architecture'!$G$3:$G$50,"Registered up to 6 years",'Input - Architecture'!$H$3:$H$50,"F",'Input - Architecture'!$I$3:$I$50,"TAS")),0)</f>
        <v>0</v>
      </c>
      <c r="X11" s="12">
        <f>IFERROR((_xlfn.MINIFS('Input - Architecture'!$F$3:$F$50,'Input - Architecture'!$G$3:$G$50,"Registered up to 6 years",'Input - Architecture'!$H$3:$H$50,"F",'Input - Architecture'!$I$3:$I$50,"TAS")),0)</f>
        <v>0</v>
      </c>
      <c r="Y11" s="15">
        <f>IFERROR((_xlfn.MAXIFS('Input - Architecture'!$F$3:$F$50,'Input - Architecture'!$G$3:$G$50,"Registered up to 6 years",'Input - Architecture'!$H$3:$H$50,"F",'Input - Architecture'!$I$3:$I$50,"TAS")),0)</f>
        <v>0</v>
      </c>
      <c r="Z11" s="19">
        <f>COUNTIFS('Input - Architecture'!$G$3:$G$50,"Registered up to 6 years",'Input - Architecture'!$H$3:$H$50,"F",'Input - Architecture'!$I$3:$I$50,"NT")</f>
        <v>0</v>
      </c>
      <c r="AA11" s="20">
        <f>IFERROR((AVERAGEIFS('Input - Architecture'!$F$3:$F$50,'Input - Architecture'!$G$3:$G$50,"Registered up to 6 years",'Input - Architecture'!$H$3:$H$50,"F",'Input - Architecture'!$I$3:$I$50,"NT")),0)</f>
        <v>0</v>
      </c>
      <c r="AB11" s="20">
        <f>IFERROR((_xlfn.MINIFS('Input - Architecture'!$F$3:$F$50,'Input - Architecture'!$G$3:$G$50,"Registered up to 6 years",'Input - Architecture'!$H$3:$H$50,"F",'Input - Architecture'!$I$3:$I$50,"NT")),0)</f>
        <v>0</v>
      </c>
      <c r="AC11" s="21">
        <f>IFERROR((_xlfn.MAXIFS('Input - Architecture'!$F$3:$F$50,'Input - Architecture'!$G$3:$G$50,"Registered up to 6 years",'Input - Architecture'!$H$3:$H$50,"F",'Input - Architecture'!$I$3:$I$50,"NT")),0)</f>
        <v>0</v>
      </c>
      <c r="AD11" s="10">
        <f>COUNTIFS('Input - Architecture'!$G$3:$G$50,"Registered up to 6 years",'Input - Architecture'!$H$3:$H$50,"F",'Input - Architecture'!$I$3:$I$50,"ACT")</f>
        <v>0</v>
      </c>
      <c r="AE11" s="12">
        <f>IFERROR((AVERAGEIFS('Input - Architecture'!$F$3:$F$50,'Input - Architecture'!$G$3:$G$50,"Registered up to 6 years",'Input - Architecture'!$H$3:$H$50,"F",'Input - Architecture'!$I$3:$I$50,"ACT")),0)</f>
        <v>0</v>
      </c>
      <c r="AF11" s="12">
        <f>IFERROR((_xlfn.MINIFS('Input - Architecture'!$F$3:$F$50,'Input - Architecture'!$G$3:$G$50,"Registered up to 6 years",'Input - Architecture'!$H$3:$H$50,"F",'Input - Architecture'!$I$3:$I$50,"ACT")),0)</f>
        <v>0</v>
      </c>
      <c r="AG11" s="15">
        <f>IFERROR((_xlfn.MAXIFS('Input - Architecture'!$F$3:$F$50,'Input - Architecture'!$G$3:$G$50,"Registered up to 6 years",'Input - Architecture'!$H$3:$H$50,"F",'Input - Architecture'!$I$3:$I$50,"ACT")),0)</f>
        <v>0</v>
      </c>
    </row>
    <row r="12" spans="1:33" x14ac:dyDescent="0.35">
      <c r="A12" s="11" t="s">
        <v>70</v>
      </c>
      <c r="B12" s="19">
        <f>COUNTIFS('Input - Architecture'!$G$3:$G$50,"Registered over 6 years",'Input - Architecture'!$H$3:$H$50,"M",'Input - Architecture'!$I$3:$I$50,"QLD")</f>
        <v>0</v>
      </c>
      <c r="C12" s="20">
        <f>IFERROR((AVERAGEIFS('Input - Architecture'!$F$3:$F$50,'Input - Architecture'!$G$3:$G$50,"Registered over 6 years",'Input - Architecture'!$H$3:$H$50,"M",'Input - Architecture'!$I$3:$I$50,"QLD")),0)</f>
        <v>0</v>
      </c>
      <c r="D12" s="20">
        <f>IFERROR((_xlfn.MINIFS('Input - Architecture'!$F$3:$F$50,'Input - Architecture'!$G$3:$G$50,"Registered over 6 years",'Input - Architecture'!$H$3:$H$50,"M",'Input - Architecture'!$I$3:$I$50,"QLD")),0)</f>
        <v>0</v>
      </c>
      <c r="E12" s="21">
        <f>IFERROR((_xlfn.MAXIFS('Input - Architecture'!$F$3:$F$50,'Input - Architecture'!$G$3:$G$50,"Registered over 6 years",'Input - Architecture'!$H$3:$H$50,"M",'Input - Architecture'!$I$3:$I$50,"QLD")),0)</f>
        <v>0</v>
      </c>
      <c r="F12" s="10">
        <f>COUNTIFS('Input - Architecture'!$G$3:$G$50,"Registered over 6 years",'Input - Architecture'!$H$3:$H$50,"M",'Input - Architecture'!$I$3:$I$50,"NSW")</f>
        <v>0</v>
      </c>
      <c r="G12" s="12">
        <f>IFERROR((AVERAGEIFS('Input - Architecture'!$F$3:$F$50,'Input - Architecture'!$G$3:$G$50,"Registered over 6 years",'Input - Architecture'!$H$3:$H$50,"M",'Input - Architecture'!$I$3:$I$50,"NSW")),0)</f>
        <v>0</v>
      </c>
      <c r="H12" s="12">
        <f>IFERROR((_xlfn.MINIFS('Input - Architecture'!$F$3:$F$50,'Input - Architecture'!$G$3:$G$50,"Registered over 6 years",'Input - Architecture'!$H$3:$H$50,"M",'Input - Architecture'!$I$3:$I$50,"NSW")),0)</f>
        <v>0</v>
      </c>
      <c r="I12" s="15">
        <f>IFERROR((_xlfn.MAXIFS('Input - Architecture'!$F$3:$F$50,'Input - Architecture'!$G$3:$G$50,"Registered over 6 years",'Input - Architecture'!$H$3:$H$50,"M",'Input - Architecture'!$I$3:$I$50,"NSW")),0)</f>
        <v>0</v>
      </c>
      <c r="J12" s="19">
        <f>COUNTIFS('Input - Architecture'!$G$3:$G$50,"Registered over 6 years",'Input - Architecture'!$H$3:$H$50,"M",'Input - Architecture'!$I$3:$I$50,"VIC")</f>
        <v>0</v>
      </c>
      <c r="K12" s="20">
        <f>IFERROR((AVERAGEIFS('Input - Architecture'!$F$3:$F$50,'Input - Architecture'!$G$3:$G$50,"Registered over 6 years",'Input - Architecture'!$H$3:$H$50,"M",'Input - Architecture'!$I$3:$I$50,"VIC")),0)</f>
        <v>0</v>
      </c>
      <c r="L12" s="20">
        <f>IFERROR((_xlfn.MINIFS('Input - Architecture'!$F$3:$F$50,'Input - Architecture'!$G$3:$G$50,"Registered over 6 years",'Input - Architecture'!$H$3:$H$50,"M",'Input - Architecture'!$I$3:$I$50,"VIC")),0)</f>
        <v>0</v>
      </c>
      <c r="M12" s="21">
        <f>IFERROR((_xlfn.MAXIFS('Input - Architecture'!$F$3:$F$50,'Input - Architecture'!$G$3:$G$50,"Registered over 6 years",'Input - Architecture'!$H$3:$H$50,"M",'Input - Architecture'!$I$3:$I$50,"VIC")),0)</f>
        <v>0</v>
      </c>
      <c r="N12" s="10">
        <f>COUNTIFS('Input - Architecture'!$G$3:$G$50,"Registered over 6 years",'Input - Architecture'!$H$3:$H$50,"M",'Input - Architecture'!$I$3:$I$50,"SA")</f>
        <v>0</v>
      </c>
      <c r="O12" s="12">
        <f>IFERROR((AVERAGEIFS('Input - Architecture'!$F$3:$F$50,'Input - Architecture'!$G$3:$G$50,"Registered over 6 years",'Input - Architecture'!$H$3:$H$50,"M",'Input - Architecture'!$I$3:$I$50,"SA")),0)</f>
        <v>0</v>
      </c>
      <c r="P12" s="12">
        <f>IFERROR((_xlfn.MINIFS('Input - Architecture'!$F$3:$F$50,'Input - Architecture'!$G$3:$G$50,"Registered over 6 years",'Input - Architecture'!$H$3:$H$50,"M",'Input - Architecture'!$I$3:$I$50,"SA")),0)</f>
        <v>0</v>
      </c>
      <c r="Q12" s="15">
        <f>IFERROR((_xlfn.MAXIFS('Input - Architecture'!$F$3:$F$50,'Input - Architecture'!$G$3:$G$50,"Registered over 6 years",'Input - Architecture'!$H$3:$H$50,"M",'Input - Architecture'!$I$3:$I$50,"SA")),0)</f>
        <v>0</v>
      </c>
      <c r="R12" s="19">
        <f>COUNTIFS('Input - Architecture'!$G$3:$G$50,"Registered over 6 years",'Input - Architecture'!$H$3:$H$50,"M",'Input - Architecture'!$I$3:$I$50,"WA")</f>
        <v>0</v>
      </c>
      <c r="S12" s="20">
        <f>IFERROR((AVERAGEIFS('Input - Architecture'!$F$3:$F$50,'Input - Architecture'!$G$3:$G$50,"Registered over 6 years",'Input - Architecture'!$H$3:$H$50,"M",'Input - Architecture'!$I$3:$I$50,"WA")),0)</f>
        <v>0</v>
      </c>
      <c r="T12" s="20">
        <f>IFERROR((_xlfn.MINIFS('Input - Architecture'!$F$3:$F$50,'Input - Architecture'!$G$3:$G$50,"Registered over 6 years",'Input - Architecture'!$H$3:$H$50,"M",'Input - Architecture'!$I$3:$I$50,"WA")),0)</f>
        <v>0</v>
      </c>
      <c r="U12" s="21">
        <f>IFERROR((_xlfn.MAXIFS('Input - Architecture'!$F$3:$F$50,'Input - Architecture'!$G$3:$G$50,"Registered over 6 years",'Input - Architecture'!$H$3:$H$50,"M",'Input - Architecture'!$I$3:$I$50,"WA")),0)</f>
        <v>0</v>
      </c>
      <c r="V12" s="10">
        <f>COUNTIFS('Input - Architecture'!$G$3:$G$50,"Registered over 6 years",'Input - Architecture'!$H$3:$H$50,"M",'Input - Architecture'!$I$3:$I$50,"TAS")</f>
        <v>0</v>
      </c>
      <c r="W12" s="12">
        <f>IFERROR((AVERAGEIFS('Input - Architecture'!$F$3:$F$50,'Input - Architecture'!$G$3:$G$50,"Registered over 6 years",'Input - Architecture'!$H$3:$H$50,"M",'Input - Architecture'!$I$3:$I$50,"TAS")),0)</f>
        <v>0</v>
      </c>
      <c r="X12" s="12">
        <f>IFERROR((_xlfn.MINIFS('Input - Architecture'!$F$3:$F$50,'Input - Architecture'!$G$3:$G$50,"Registered over 6 years",'Input - Architecture'!$H$3:$H$50,"M",'Input - Architecture'!$I$3:$I$50,"TAS")),0)</f>
        <v>0</v>
      </c>
      <c r="Y12" s="15">
        <f>IFERROR((_xlfn.MAXIFS('Input - Architecture'!$F$3:$F$50,'Input - Architecture'!$G$3:$G$50,"Registered over 6 years",'Input - Architecture'!$H$3:$H$50,"M",'Input - Architecture'!$I$3:$I$50,"TAS")),0)</f>
        <v>0</v>
      </c>
      <c r="Z12" s="19">
        <f>COUNTIFS('Input - Architecture'!$G$3:$G$50,"Registered over 6 years",'Input - Architecture'!$H$3:$H$50,"M",'Input - Architecture'!$I$3:$I$50,"NT")</f>
        <v>0</v>
      </c>
      <c r="AA12" s="20">
        <f>IFERROR((AVERAGEIFS('Input - Architecture'!$F$3:$F$50,'Input - Architecture'!$G$3:$G$50,"Registered over 6 years",'Input - Architecture'!$H$3:$H$50,"M",'Input - Architecture'!$I$3:$I$50,"NT")),0)</f>
        <v>0</v>
      </c>
      <c r="AB12" s="20">
        <f>IFERROR((_xlfn.MINIFS('Input - Architecture'!$F$3:$F$50,'Input - Architecture'!$G$3:$G$50,"Registered over 6 years",'Input - Architecture'!$H$3:$H$50,"M",'Input - Architecture'!$I$3:$I$50,"NT")),0)</f>
        <v>0</v>
      </c>
      <c r="AC12" s="21">
        <f>IFERROR((_xlfn.MAXIFS('Input - Architecture'!$F$3:$F$50,'Input - Architecture'!$G$3:$G$50,"Registered over 6 years",'Input - Architecture'!$H$3:$H$50,"M",'Input - Architecture'!$I$3:$I$50,"NT")),0)</f>
        <v>0</v>
      </c>
      <c r="AD12" s="10">
        <f>COUNTIFS('Input - Architecture'!$G$3:$G$50,"Registered over 6 years",'Input - Architecture'!$H$3:$H$50,"M",'Input - Architecture'!$I$3:$I$50,"ACT")</f>
        <v>0</v>
      </c>
      <c r="AE12" s="12">
        <f>IFERROR((AVERAGEIFS('Input - Architecture'!$F$3:$F$50,'Input - Architecture'!$G$3:$G$50,"Registered over 6 years",'Input - Architecture'!$H$3:$H$50,"M",'Input - Architecture'!$I$3:$I$50,"ACT")),0)</f>
        <v>0</v>
      </c>
      <c r="AF12" s="12">
        <f>IFERROR((_xlfn.MINIFS('Input - Architecture'!$F$3:$F$50,'Input - Architecture'!$G$3:$G$50,"Registered over 6 years",'Input - Architecture'!$H$3:$H$50,"M",'Input - Architecture'!$I$3:$I$50,"ACT")),0)</f>
        <v>0</v>
      </c>
      <c r="AG12" s="15">
        <f>IFERROR((_xlfn.MAXIFS('Input - Architecture'!$F$3:$F$50,'Input - Architecture'!$G$3:$G$50,"Registered over 6 years",'Input - Architecture'!$H$3:$H$50,"M",'Input - Architecture'!$I$3:$I$50,"ACT")),0)</f>
        <v>0</v>
      </c>
    </row>
    <row r="13" spans="1:33" x14ac:dyDescent="0.35">
      <c r="A13" s="11" t="s">
        <v>71</v>
      </c>
      <c r="B13" s="19">
        <f>COUNTIFS('Input - Architecture'!$G$3:$G$50,"Registered over 6 years",'Input - Architecture'!$H$3:$H$50,"F",'Input - Architecture'!$I$3:$I$50,"QLD")</f>
        <v>0</v>
      </c>
      <c r="C13" s="20">
        <f>IFERROR((AVERAGEIFS('Input - Architecture'!$F$3:$F$50,'Input - Architecture'!$G$3:$G$50,"Registered over 6 years",'Input - Architecture'!$H$3:$H$50,"F",'Input - Architecture'!$I$3:$I$50,"QLD")),0)</f>
        <v>0</v>
      </c>
      <c r="D13" s="20">
        <f>IFERROR((_xlfn.MINIFS('Input - Architecture'!$F$3:$F$50,'Input - Architecture'!$G$3:$G$50,"Registered over 6 years",'Input - Architecture'!$H$3:$H$50,"F",'Input - Architecture'!$I$3:$I$50,"QLD")),0)</f>
        <v>0</v>
      </c>
      <c r="E13" s="21">
        <f>IFERROR((_xlfn.MAXIFS('Input - Architecture'!$F$3:$F$50,'Input - Architecture'!$G$3:$G$50,"Registered over 6 years",'Input - Architecture'!$H$3:$H$50,"F",'Input - Architecture'!$I$3:$I$50,"QLD")),0)</f>
        <v>0</v>
      </c>
      <c r="F13" s="10">
        <f>COUNTIFS('Input - Architecture'!$G$3:$G$50,"Registered over 6 years",'Input - Architecture'!$H$3:$H$50,"F",'Input - Architecture'!$I$3:$I$50,"NSW")</f>
        <v>0</v>
      </c>
      <c r="G13" s="12">
        <f>IFERROR((AVERAGEIFS('Input - Architecture'!$F$3:$F$50,'Input - Architecture'!$G$3:$G$50,"Registered over 6 years",'Input - Architecture'!$H$3:$H$50,"F",'Input - Architecture'!$I$3:$I$50,"NSW")),0)</f>
        <v>0</v>
      </c>
      <c r="H13" s="12">
        <f>IFERROR((_xlfn.MINIFS('Input - Architecture'!$F$3:$F$50,'Input - Architecture'!$G$3:$G$50,"Registered over 6 years",'Input - Architecture'!$H$3:$H$50,"F",'Input - Architecture'!$I$3:$I$50,"NSW")),0)</f>
        <v>0</v>
      </c>
      <c r="I13" s="15">
        <f>IFERROR((_xlfn.MAXIFS('Input - Architecture'!$F$3:$F$50,'Input - Architecture'!$G$3:$G$50,"Registered over 6 years",'Input - Architecture'!$H$3:$H$50,"F",'Input - Architecture'!$I$3:$I$50,"NSW")),0)</f>
        <v>0</v>
      </c>
      <c r="J13" s="19">
        <f>COUNTIFS('Input - Architecture'!$G$3:$G$50,"Registered over 6 years",'Input - Architecture'!$H$3:$H$50,"F",'Input - Architecture'!$I$3:$I$50,"VIC")</f>
        <v>0</v>
      </c>
      <c r="K13" s="20">
        <f>IFERROR((AVERAGEIFS('Input - Architecture'!$F$3:$F$50,'Input - Architecture'!$G$3:$G$50,"Registered over 6 years",'Input - Architecture'!$H$3:$H$50,"F",'Input - Architecture'!$I$3:$I$50,"VIC")),0)</f>
        <v>0</v>
      </c>
      <c r="L13" s="20">
        <f>IFERROR((_xlfn.MINIFS('Input - Architecture'!$F$3:$F$50,'Input - Architecture'!$G$3:$G$50,"Registered over 6 years",'Input - Architecture'!$H$3:$H$50,"F",'Input - Architecture'!$I$3:$I$50,"VIC")),0)</f>
        <v>0</v>
      </c>
      <c r="M13" s="21">
        <f>IFERROR((_xlfn.MAXIFS('Input - Architecture'!$F$3:$F$50,'Input - Architecture'!$G$3:$G$50,"Registered over 6 years",'Input - Architecture'!$H$3:$H$50,"F",'Input - Architecture'!$I$3:$I$50,"VIC")),0)</f>
        <v>0</v>
      </c>
      <c r="N13" s="10">
        <f>COUNTIFS('Input - Architecture'!$G$3:$G$50,"Registered over 6 years",'Input - Architecture'!$H$3:$H$50,"F",'Input - Architecture'!$I$3:$I$50,"SA")</f>
        <v>0</v>
      </c>
      <c r="O13" s="12">
        <f>IFERROR((AVERAGEIFS('Input - Architecture'!$F$3:$F$50,'Input - Architecture'!$G$3:$G$50,"Registered over 6 years",'Input - Architecture'!$H$3:$H$50,"F",'Input - Architecture'!$I$3:$I$50,"SA")),0)</f>
        <v>0</v>
      </c>
      <c r="P13" s="12">
        <f>IFERROR((_xlfn.MINIFS('Input - Architecture'!$F$3:$F$50,'Input - Architecture'!$G$3:$G$50,"Registered over 6 years",'Input - Architecture'!$H$3:$H$50,"F",'Input - Architecture'!$I$3:$I$50,"SA")),0)</f>
        <v>0</v>
      </c>
      <c r="Q13" s="15">
        <f>IFERROR((_xlfn.MAXIFS('Input - Architecture'!$F$3:$F$50,'Input - Architecture'!$G$3:$G$50,"Registered over 6 years",'Input - Architecture'!$H$3:$H$50,"F",'Input - Architecture'!$I$3:$I$50,"SA")),0)</f>
        <v>0</v>
      </c>
      <c r="R13" s="19">
        <f>COUNTIFS('Input - Architecture'!$G$3:$G$50,"Registered over 6 years",'Input - Architecture'!$H$3:$H$50,"F",'Input - Architecture'!$I$3:$I$50,"WA")</f>
        <v>0</v>
      </c>
      <c r="S13" s="20">
        <f>IFERROR((AVERAGEIFS('Input - Architecture'!$F$3:$F$50,'Input - Architecture'!$G$3:$G$50,"Registered over 6 years",'Input - Architecture'!$H$3:$H$50,"F",'Input - Architecture'!$I$3:$I$50,"WA")),0)</f>
        <v>0</v>
      </c>
      <c r="T13" s="20">
        <f>IFERROR((_xlfn.MINIFS('Input - Architecture'!$F$3:$F$50,'Input - Architecture'!$G$3:$G$50,"Registered over 6 years",'Input - Architecture'!$H$3:$H$50,"F",'Input - Architecture'!$I$3:$I$50,"WA")),0)</f>
        <v>0</v>
      </c>
      <c r="U13" s="21">
        <f>IFERROR((_xlfn.MAXIFS('Input - Architecture'!$F$3:$F$50,'Input - Architecture'!$G$3:$G$50,"Registered over 6 years",'Input - Architecture'!$H$3:$H$50,"F",'Input - Architecture'!$I$3:$I$50,"WA")),0)</f>
        <v>0</v>
      </c>
      <c r="V13" s="10">
        <f>COUNTIFS('Input - Architecture'!$G$3:$G$50,"Registered over 6 years",'Input - Architecture'!$H$3:$H$50,"F",'Input - Architecture'!$I$3:$I$50,"TAS")</f>
        <v>0</v>
      </c>
      <c r="W13" s="12">
        <f>IFERROR((AVERAGEIFS('Input - Architecture'!$F$3:$F$50,'Input - Architecture'!$G$3:$G$50,"Registered over 6 years",'Input - Architecture'!$H$3:$H$50,"F",'Input - Architecture'!$I$3:$I$50,"TAS")),0)</f>
        <v>0</v>
      </c>
      <c r="X13" s="12">
        <f>IFERROR((_xlfn.MINIFS('Input - Architecture'!$F$3:$F$50,'Input - Architecture'!$G$3:$G$50,"Registered over 6 years",'Input - Architecture'!$H$3:$H$50,"F",'Input - Architecture'!$I$3:$I$50,"TAS")),0)</f>
        <v>0</v>
      </c>
      <c r="Y13" s="15">
        <f>IFERROR((_xlfn.MAXIFS('Input - Architecture'!$F$3:$F$50,'Input - Architecture'!$G$3:$G$50,"Registered over 6 years",'Input - Architecture'!$H$3:$H$50,"F",'Input - Architecture'!$I$3:$I$50,"TAS")),0)</f>
        <v>0</v>
      </c>
      <c r="Z13" s="19">
        <f>COUNTIFS('Input - Architecture'!$G$3:$G$50,"Registered over 6 years",'Input - Architecture'!$H$3:$H$50,"F",'Input - Architecture'!$I$3:$I$50,"NT")</f>
        <v>0</v>
      </c>
      <c r="AA13" s="20">
        <f>IFERROR((AVERAGEIFS('Input - Architecture'!$F$3:$F$50,'Input - Architecture'!$G$3:$G$50,"Registered over 6 years",'Input - Architecture'!$H$3:$H$50,"F",'Input - Architecture'!$I$3:$I$50,"NT")),0)</f>
        <v>0</v>
      </c>
      <c r="AB13" s="20">
        <f>IFERROR((_xlfn.MINIFS('Input - Architecture'!$F$3:$F$50,'Input - Architecture'!$G$3:$G$50,"Registered over 6 years",'Input - Architecture'!$H$3:$H$50,"F",'Input - Architecture'!$I$3:$I$50,"NT")),0)</f>
        <v>0</v>
      </c>
      <c r="AC13" s="21">
        <f>IFERROR((_xlfn.MAXIFS('Input - Architecture'!$F$3:$F$50,'Input - Architecture'!$G$3:$G$50,"Registered over 6 years",'Input - Architecture'!$H$3:$H$50,"F",'Input - Architecture'!$I$3:$I$50,"NT")),0)</f>
        <v>0</v>
      </c>
      <c r="AD13" s="10">
        <f>COUNTIFS('Input - Architecture'!$G$3:$G$50,"Registered over 6 years",'Input - Architecture'!$H$3:$H$50,"F",'Input - Architecture'!$I$3:$I$50,"ACT")</f>
        <v>0</v>
      </c>
      <c r="AE13" s="12">
        <f>IFERROR((AVERAGEIFS('Input - Architecture'!$F$3:$F$50,'Input - Architecture'!$G$3:$G$50,"Registered over 6 years",'Input - Architecture'!$H$3:$H$50,"F",'Input - Architecture'!$I$3:$I$50,"ACT")),0)</f>
        <v>0</v>
      </c>
      <c r="AF13" s="12">
        <f>IFERROR((_xlfn.MINIFS('Input - Architecture'!$F$3:$F$50,'Input - Architecture'!$G$3:$G$50,"Registered over 6 years",'Input - Architecture'!$H$3:$H$50,"F",'Input - Architecture'!$I$3:$I$50,"ACT")),0)</f>
        <v>0</v>
      </c>
      <c r="AG13" s="15">
        <f>IFERROR((_xlfn.MAXIFS('Input - Architecture'!$F$3:$F$50,'Input - Architecture'!$G$3:$G$50,"Registered over 6 years",'Input - Architecture'!$H$3:$H$50,"F",'Input - Architecture'!$I$3:$I$50,"ACT")),0)</f>
        <v>0</v>
      </c>
    </row>
    <row r="14" spans="1:33" x14ac:dyDescent="0.35">
      <c r="A14" s="11" t="s">
        <v>72</v>
      </c>
      <c r="B14" s="19">
        <f>COUNTIFS('Input - Architecture'!$G$3:$G$50,"New Associate up to 2 years",'Input - Architecture'!$H$3:$H$50,"M",'Input - Architecture'!$I$3:$I$50,"QLD")</f>
        <v>0</v>
      </c>
      <c r="C14" s="20">
        <f>IFERROR((AVERAGEIFS('Input - Architecture'!$F$3:$F$50,'Input - Architecture'!$G$3:$G$50,"New Associate up to 2 years",'Input - Architecture'!$H$3:$H$50,"M",'Input - Architecture'!$I$3:$I$50,"QLD")),0)</f>
        <v>0</v>
      </c>
      <c r="D14" s="20">
        <f>IFERROR((_xlfn.MINIFS('Input - Architecture'!$F$3:$F$50,'Input - Architecture'!$G$3:$G$50,"New Associate up to 2 years",'Input - Architecture'!$H$3:$H$50,"M",'Input - Architecture'!$I$3:$I$50,"QLD")),0)</f>
        <v>0</v>
      </c>
      <c r="E14" s="21">
        <f>IFERROR((_xlfn.MAXIFS('Input - Architecture'!$F$3:$F$50,'Input - Architecture'!$G$3:$G$50,"New Associate up to 2 years",'Input - Architecture'!$H$3:$H$50,"M",'Input - Architecture'!$I$3:$I$50,"QLD")),0)</f>
        <v>0</v>
      </c>
      <c r="F14" s="10">
        <f>COUNTIFS('Input - Architecture'!$G$3:$G$50,"New Associate up to 2 years",'Input - Architecture'!$H$3:$H$50,"M",'Input - Architecture'!$I$3:$I$50,"NSW")</f>
        <v>0</v>
      </c>
      <c r="G14" s="12">
        <f>IFERROR((AVERAGEIFS('Input - Architecture'!$F$3:$F$50,'Input - Architecture'!$G$3:$G$50,"New Associate up to 2 years",'Input - Architecture'!$H$3:$H$50,"M",'Input - Architecture'!$I$3:$I$50,"NSW")),0)</f>
        <v>0</v>
      </c>
      <c r="H14" s="12">
        <f>IFERROR((_xlfn.MINIFS('Input - Architecture'!$F$3:$F$50,'Input - Architecture'!$G$3:$G$50,"New Associate up to 2 years",'Input - Architecture'!$H$3:$H$50,"M",'Input - Architecture'!$I$3:$I$50,"NSW")),0)</f>
        <v>0</v>
      </c>
      <c r="I14" s="15">
        <f>IFERROR((_xlfn.MAXIFS('Input - Architecture'!$F$3:$F$50,'Input - Architecture'!$G$3:$G$50,"New Associate up to 2 years",'Input - Architecture'!$H$3:$H$50,"M",'Input - Architecture'!$I$3:$I$50,"NSW")),0)</f>
        <v>0</v>
      </c>
      <c r="J14" s="19">
        <f>COUNTIFS('Input - Architecture'!$G$3:$G$50,"New Associate up to 2 years",'Input - Architecture'!$H$3:$H$50,"M",'Input - Architecture'!$I$3:$I$50,"VIC")</f>
        <v>0</v>
      </c>
      <c r="K14" s="20">
        <f>IFERROR((AVERAGEIFS('Input - Architecture'!$F$3:$F$50,'Input - Architecture'!$G$3:$G$50,"New Associate up to 2 years",'Input - Architecture'!$H$3:$H$50,"M",'Input - Architecture'!$I$3:$I$50,"VIC")),0)</f>
        <v>0</v>
      </c>
      <c r="L14" s="20">
        <f>IFERROR((_xlfn.MINIFS('Input - Architecture'!$F$3:$F$50,'Input - Architecture'!$G$3:$G$50,"New Associate up to 2 years",'Input - Architecture'!$H$3:$H$50,"M",'Input - Architecture'!$I$3:$I$50,"VIC")),0)</f>
        <v>0</v>
      </c>
      <c r="M14" s="21">
        <f>IFERROR((_xlfn.MAXIFS('Input - Architecture'!$F$3:$F$50,'Input - Architecture'!$G$3:$G$50,"New Associate up to 2 years",'Input - Architecture'!$H$3:$H$50,"M",'Input - Architecture'!$I$3:$I$50,"VIC")),0)</f>
        <v>0</v>
      </c>
      <c r="N14" s="10">
        <f>COUNTIFS('Input - Architecture'!$G$3:$G$50,"New Associate up to 2 years",'Input - Architecture'!$H$3:$H$50,"M",'Input - Architecture'!$I$3:$I$50,"SA")</f>
        <v>0</v>
      </c>
      <c r="O14" s="12">
        <f>IFERROR((AVERAGEIFS('Input - Architecture'!$F$3:$F$50,'Input - Architecture'!$G$3:$G$50,"New Associate up to 2 years",'Input - Architecture'!$H$3:$H$50,"M",'Input - Architecture'!$I$3:$I$50,"SA")),0)</f>
        <v>0</v>
      </c>
      <c r="P14" s="12">
        <f>IFERROR((_xlfn.MINIFS('Input - Architecture'!$F$3:$F$50,'Input - Architecture'!$G$3:$G$50,"New Associate up to 2 years",'Input - Architecture'!$H$3:$H$50,"M",'Input - Architecture'!$I$3:$I$50,"SA")),0)</f>
        <v>0</v>
      </c>
      <c r="Q14" s="15">
        <f>IFERROR((_xlfn.MAXIFS('Input - Architecture'!$F$3:$F$50,'Input - Architecture'!$G$3:$G$50,"New Associate up to 2 years",'Input - Architecture'!$H$3:$H$50,"M",'Input - Architecture'!$I$3:$I$50,"SA")),0)</f>
        <v>0</v>
      </c>
      <c r="R14" s="19">
        <f>COUNTIFS('Input - Architecture'!$G$3:$G$50,"New Associate up to 2 years",'Input - Architecture'!$H$3:$H$50,"M",'Input - Architecture'!$I$3:$I$50,"WA")</f>
        <v>0</v>
      </c>
      <c r="S14" s="20">
        <f>IFERROR((AVERAGEIFS('Input - Architecture'!$F$3:$F$50,'Input - Architecture'!$G$3:$G$50,"New Associate up to 2 years",'Input - Architecture'!$H$3:$H$50,"M",'Input - Architecture'!$I$3:$I$50,"WA")),0)</f>
        <v>0</v>
      </c>
      <c r="T14" s="20">
        <f>IFERROR((_xlfn.MINIFS('Input - Architecture'!$F$3:$F$50,'Input - Architecture'!$G$3:$G$50,"New Associate up to 2 years",'Input - Architecture'!$H$3:$H$50,"M",'Input - Architecture'!$I$3:$I$50,"WA")),0)</f>
        <v>0</v>
      </c>
      <c r="U14" s="21">
        <f>IFERROR((_xlfn.MAXIFS('Input - Architecture'!$F$3:$F$50,'Input - Architecture'!$G$3:$G$50,"New Associate up to 2 years",'Input - Architecture'!$H$3:$H$50,"M",'Input - Architecture'!$I$3:$I$50,"WA")),0)</f>
        <v>0</v>
      </c>
      <c r="V14" s="10">
        <f>COUNTIFS('Input - Architecture'!$G$3:$G$50,"New Associate up to 2 years",'Input - Architecture'!$H$3:$H$50,"M",'Input - Architecture'!$I$3:$I$50,"TAS")</f>
        <v>0</v>
      </c>
      <c r="W14" s="12">
        <f>IFERROR((AVERAGEIFS('Input - Architecture'!$F$3:$F$50,'Input - Architecture'!$G$3:$G$50,"New Associate up to 2 years",'Input - Architecture'!$H$3:$H$50,"M",'Input - Architecture'!$I$3:$I$50,"TAS")),0)</f>
        <v>0</v>
      </c>
      <c r="X14" s="12">
        <f>IFERROR((_xlfn.MINIFS('Input - Architecture'!$F$3:$F$50,'Input - Architecture'!$G$3:$G$50,"New Associate up to 2 years",'Input - Architecture'!$H$3:$H$50,"M",'Input - Architecture'!$I$3:$I$50,"TAS")),0)</f>
        <v>0</v>
      </c>
      <c r="Y14" s="15">
        <f>IFERROR((_xlfn.MAXIFS('Input - Architecture'!$F$3:$F$50,'Input - Architecture'!$G$3:$G$50,"New Associate up to 2 years",'Input - Architecture'!$H$3:$H$50,"M",'Input - Architecture'!$I$3:$I$50,"TAS")),0)</f>
        <v>0</v>
      </c>
      <c r="Z14" s="19">
        <f>COUNTIFS('Input - Architecture'!$G$3:$G$50,"New Associate up to 2 years",'Input - Architecture'!$H$3:$H$50,"M",'Input - Architecture'!$I$3:$I$50,"NT")</f>
        <v>0</v>
      </c>
      <c r="AA14" s="20">
        <f>IFERROR((AVERAGEIFS('Input - Architecture'!$F$3:$F$50,'Input - Architecture'!$G$3:$G$50,"New Associate up to 2 years",'Input - Architecture'!$H$3:$H$50,"M",'Input - Architecture'!$I$3:$I$50,"NT")),0)</f>
        <v>0</v>
      </c>
      <c r="AB14" s="20">
        <f>IFERROR((_xlfn.MINIFS('Input - Architecture'!$F$3:$F$50,'Input - Architecture'!$G$3:$G$50,"New Associate up to 2 years",'Input - Architecture'!$H$3:$H$50,"M",'Input - Architecture'!$I$3:$I$50,"NT")),0)</f>
        <v>0</v>
      </c>
      <c r="AC14" s="21">
        <f>IFERROR((_xlfn.MAXIFS('Input - Architecture'!$F$3:$F$50,'Input - Architecture'!$G$3:$G$50,"New Associate up to 2 years",'Input - Architecture'!$H$3:$H$50,"M",'Input - Architecture'!$I$3:$I$50,"NT")),0)</f>
        <v>0</v>
      </c>
      <c r="AD14" s="10">
        <f>COUNTIFS('Input - Architecture'!$G$3:$G$50,"New Associate up to 2 years",'Input - Architecture'!$H$3:$H$50,"M",'Input - Architecture'!$I$3:$I$50,"ACT")</f>
        <v>0</v>
      </c>
      <c r="AE14" s="12">
        <f>IFERROR((AVERAGEIFS('Input - Architecture'!$F$3:$F$50,'Input - Architecture'!$G$3:$G$50,"New Associate up to 2 years",'Input - Architecture'!$H$3:$H$50,"M",'Input - Architecture'!$I$3:$I$50,"ACT")),0)</f>
        <v>0</v>
      </c>
      <c r="AF14" s="12">
        <f>IFERROR((_xlfn.MINIFS('Input - Architecture'!$F$3:$F$50,'Input - Architecture'!$G$3:$G$50,"New Associate up to 2 years",'Input - Architecture'!$H$3:$H$50,"M",'Input - Architecture'!$I$3:$I$50,"ACT")),0)</f>
        <v>0</v>
      </c>
      <c r="AG14" s="15">
        <f>IFERROR((_xlfn.MAXIFS('Input - Architecture'!$F$3:$F$50,'Input - Architecture'!$G$3:$G$50,"New Associate up to 2 years",'Input - Architecture'!$H$3:$H$50,"M",'Input - Architecture'!$I$3:$I$50,"ACT")),0)</f>
        <v>0</v>
      </c>
    </row>
    <row r="15" spans="1:33" x14ac:dyDescent="0.35">
      <c r="A15" s="11" t="s">
        <v>73</v>
      </c>
      <c r="B15" s="19">
        <f>COUNTIFS('Input - Architecture'!$G$3:$G$50,"New Associate up to 2 years",'Input - Architecture'!$H$3:$H$50,"F",'Input - Architecture'!$I$3:$I$50,"QLD")</f>
        <v>0</v>
      </c>
      <c r="C15" s="20">
        <f>IFERROR((AVERAGEIFS('Input - Architecture'!$F$3:$F$50,'Input - Architecture'!$G$3:$G$50,"New Associate up to 2 years",'Input - Architecture'!$H$3:$H$50,"F",'Input - Architecture'!$I$3:$I$50,"QLD")),0)</f>
        <v>0</v>
      </c>
      <c r="D15" s="20">
        <f>IFERROR((_xlfn.MINIFS('Input - Architecture'!$F$3:$F$50,'Input - Architecture'!$G$3:$G$50,"New Associate up to 2 years",'Input - Architecture'!$H$3:$H$50,"F",'Input - Architecture'!$I$3:$I$50,"QLD")),0)</f>
        <v>0</v>
      </c>
      <c r="E15" s="21">
        <f>IFERROR((_xlfn.MAXIFS('Input - Architecture'!$F$3:$F$50,'Input - Architecture'!$G$3:$G$50,"New Associate up to 2 years",'Input - Architecture'!$H$3:$H$50,"F",'Input - Architecture'!$I$3:$I$50,"QLD")),0)</f>
        <v>0</v>
      </c>
      <c r="F15" s="10">
        <f>COUNTIFS('Input - Architecture'!$G$3:$G$50,"New Associate up to 2 years",'Input - Architecture'!$H$3:$H$50,"F",'Input - Architecture'!$I$3:$I$50,"NSW")</f>
        <v>0</v>
      </c>
      <c r="G15" s="12">
        <f>IFERROR((AVERAGEIFS('Input - Architecture'!$F$3:$F$50,'Input - Architecture'!$G$3:$G$50,"New Associate up to 2 years",'Input - Architecture'!$H$3:$H$50,"F",'Input - Architecture'!$I$3:$I$50,"NSW")),0)</f>
        <v>0</v>
      </c>
      <c r="H15" s="12">
        <f>IFERROR((_xlfn.MINIFS('Input - Architecture'!$F$3:$F$50,'Input - Architecture'!$G$3:$G$50,"New Associate up to 2 years",'Input - Architecture'!$H$3:$H$50,"F",'Input - Architecture'!$I$3:$I$50,"NSW")),0)</f>
        <v>0</v>
      </c>
      <c r="I15" s="15">
        <f>IFERROR((_xlfn.MAXIFS('Input - Architecture'!$F$3:$F$50,'Input - Architecture'!$G$3:$G$50,"New Associate up to 2 years",'Input - Architecture'!$H$3:$H$50,"F",'Input - Architecture'!$I$3:$I$50,"NSW")),0)</f>
        <v>0</v>
      </c>
      <c r="J15" s="19">
        <f>COUNTIFS('Input - Architecture'!$G$3:$G$50,"New Associate up to 2 years",'Input - Architecture'!$H$3:$H$50,"F",'Input - Architecture'!$I$3:$I$50,"VIC")</f>
        <v>0</v>
      </c>
      <c r="K15" s="20">
        <f>IFERROR((AVERAGEIFS('Input - Architecture'!$F$3:$F$50,'Input - Architecture'!$G$3:$G$50,"New Associate up to 2 years",'Input - Architecture'!$H$3:$H$50,"F",'Input - Architecture'!$I$3:$I$50,"VIC")),0)</f>
        <v>0</v>
      </c>
      <c r="L15" s="20">
        <f>IFERROR((_xlfn.MINIFS('Input - Architecture'!$F$3:$F$50,'Input - Architecture'!$G$3:$G$50,"New Associate up to 2 years",'Input - Architecture'!$H$3:$H$50,"F",'Input - Architecture'!$I$3:$I$50,"VIC")),0)</f>
        <v>0</v>
      </c>
      <c r="M15" s="21">
        <f>IFERROR((_xlfn.MAXIFS('Input - Architecture'!$F$3:$F$50,'Input - Architecture'!$G$3:$G$50,"New Associate up to 2 years",'Input - Architecture'!$H$3:$H$50,"F",'Input - Architecture'!$I$3:$I$50,"VIC")),0)</f>
        <v>0</v>
      </c>
      <c r="N15" s="10">
        <f>COUNTIFS('Input - Architecture'!$G$3:$G$50,"New Associate up to 2 years",'Input - Architecture'!$H$3:$H$50,"F",'Input - Architecture'!$I$3:$I$50,"SA")</f>
        <v>0</v>
      </c>
      <c r="O15" s="12">
        <f>IFERROR((AVERAGEIFS('Input - Architecture'!$F$3:$F$50,'Input - Architecture'!$G$3:$G$50,"New Associate up to 2 years",'Input - Architecture'!$H$3:$H$50,"F",'Input - Architecture'!$I$3:$I$50,"SA")),0)</f>
        <v>0</v>
      </c>
      <c r="P15" s="12">
        <f>IFERROR((_xlfn.MINIFS('Input - Architecture'!$F$3:$F$50,'Input - Architecture'!$G$3:$G$50,"New Associate up to 2 years",'Input - Architecture'!$H$3:$H$50,"F",'Input - Architecture'!$I$3:$I$50,"SA")),0)</f>
        <v>0</v>
      </c>
      <c r="Q15" s="15">
        <f>IFERROR((_xlfn.MAXIFS('Input - Architecture'!$F$3:$F$50,'Input - Architecture'!$G$3:$G$50,"New Associate up to 2 years",'Input - Architecture'!$H$3:$H$50,"F",'Input - Architecture'!$I$3:$I$50,"SA")),0)</f>
        <v>0</v>
      </c>
      <c r="R15" s="19">
        <f>COUNTIFS('Input - Architecture'!$G$3:$G$50,"New Associate up to 2 years",'Input - Architecture'!$H$3:$H$50,"F",'Input - Architecture'!$I$3:$I$50,"WA")</f>
        <v>0</v>
      </c>
      <c r="S15" s="20">
        <f>IFERROR((AVERAGEIFS('Input - Architecture'!$F$3:$F$50,'Input - Architecture'!$G$3:$G$50,"New Associate up to 2 years",'Input - Architecture'!$H$3:$H$50,"F",'Input - Architecture'!$I$3:$I$50,"WA")),0)</f>
        <v>0</v>
      </c>
      <c r="T15" s="20">
        <f>IFERROR((_xlfn.MINIFS('Input - Architecture'!$F$3:$F$50,'Input - Architecture'!$G$3:$G$50,"New Associate up to 2 years",'Input - Architecture'!$H$3:$H$50,"F",'Input - Architecture'!$I$3:$I$50,"WA")),0)</f>
        <v>0</v>
      </c>
      <c r="U15" s="21">
        <f>IFERROR((_xlfn.MAXIFS('Input - Architecture'!$F$3:$F$50,'Input - Architecture'!$G$3:$G$50,"New Associate up to 2 years",'Input - Architecture'!$H$3:$H$50,"F",'Input - Architecture'!$I$3:$I$50,"WA")),0)</f>
        <v>0</v>
      </c>
      <c r="V15" s="10">
        <f>COUNTIFS('Input - Architecture'!$G$3:$G$50,"New Associate up to 2 years",'Input - Architecture'!$H$3:$H$50,"F",'Input - Architecture'!$I$3:$I$50,"TAS")</f>
        <v>0</v>
      </c>
      <c r="W15" s="12">
        <f>IFERROR((AVERAGEIFS('Input - Architecture'!$F$3:$F$50,'Input - Architecture'!$G$3:$G$50,"New Associate up to 2 years",'Input - Architecture'!$H$3:$H$50,"F",'Input - Architecture'!$I$3:$I$50,"TAS")),0)</f>
        <v>0</v>
      </c>
      <c r="X15" s="12">
        <f>IFERROR((_xlfn.MINIFS('Input - Architecture'!$F$3:$F$50,'Input - Architecture'!$G$3:$G$50,"New Associate up to 2 years",'Input - Architecture'!$H$3:$H$50,"F",'Input - Architecture'!$I$3:$I$50,"TAS")),0)</f>
        <v>0</v>
      </c>
      <c r="Y15" s="15">
        <f>IFERROR((_xlfn.MAXIFS('Input - Architecture'!$F$3:$F$50,'Input - Architecture'!$G$3:$G$50,"New Associate up to 2 years",'Input - Architecture'!$H$3:$H$50,"F",'Input - Architecture'!$I$3:$I$50,"TAS")),0)</f>
        <v>0</v>
      </c>
      <c r="Z15" s="19">
        <f>COUNTIFS('Input - Architecture'!$G$3:$G$50,"New Associate up to 2 years",'Input - Architecture'!$H$3:$H$50,"F",'Input - Architecture'!$I$3:$I$50,"NT")</f>
        <v>0</v>
      </c>
      <c r="AA15" s="20">
        <f>IFERROR((AVERAGEIFS('Input - Architecture'!$F$3:$F$50,'Input - Architecture'!$G$3:$G$50,"New Associate up to 2 years",'Input - Architecture'!$H$3:$H$50,"F",'Input - Architecture'!$I$3:$I$50,"NT")),0)</f>
        <v>0</v>
      </c>
      <c r="AB15" s="20">
        <f>IFERROR((_xlfn.MINIFS('Input - Architecture'!$F$3:$F$50,'Input - Architecture'!$G$3:$G$50,"New Associate up to 2 years",'Input - Architecture'!$H$3:$H$50,"F",'Input - Architecture'!$I$3:$I$50,"NT")),0)</f>
        <v>0</v>
      </c>
      <c r="AC15" s="21">
        <f>IFERROR((_xlfn.MAXIFS('Input - Architecture'!$F$3:$F$50,'Input - Architecture'!$G$3:$G$50,"New Associate up to 2 years",'Input - Architecture'!$H$3:$H$50,"F",'Input - Architecture'!$I$3:$I$50,"NT")),0)</f>
        <v>0</v>
      </c>
      <c r="AD15" s="10">
        <f>COUNTIFS('Input - Architecture'!$G$3:$G$50,"New Associate up to 2 years",'Input - Architecture'!$H$3:$H$50,"F",'Input - Architecture'!$I$3:$I$50,"ACT")</f>
        <v>0</v>
      </c>
      <c r="AE15" s="12">
        <f>IFERROR((AVERAGEIFS('Input - Architecture'!$F$3:$F$50,'Input - Architecture'!$G$3:$G$50,"New Associate up to 2 years",'Input - Architecture'!$H$3:$H$50,"F",'Input - Architecture'!$I$3:$I$50,"ACT")),0)</f>
        <v>0</v>
      </c>
      <c r="AF15" s="12">
        <f>IFERROR((_xlfn.MINIFS('Input - Architecture'!$F$3:$F$50,'Input - Architecture'!$G$3:$G$50,"New Associate up to 2 years",'Input - Architecture'!$H$3:$H$50,"F",'Input - Architecture'!$I$3:$I$50,"ACT")),0)</f>
        <v>0</v>
      </c>
      <c r="AG15" s="15">
        <f>IFERROR((_xlfn.MAXIFS('Input - Architecture'!$F$3:$F$50,'Input - Architecture'!$G$3:$G$50,"New Associate up to 2 years",'Input - Architecture'!$H$3:$H$50,"F",'Input - Architecture'!$I$3:$I$50,"ACT")),0)</f>
        <v>0</v>
      </c>
    </row>
    <row r="16" spans="1:33" x14ac:dyDescent="0.35">
      <c r="A16" s="11" t="s">
        <v>74</v>
      </c>
      <c r="B16" s="19">
        <f>COUNTIFS('Input - Architecture'!$G$3:$G$50,"Experienced Associate over 2 years",'Input - Architecture'!$H$3:$H$50,"M",'Input - Architecture'!$I$3:$I$50,"QLD")</f>
        <v>0</v>
      </c>
      <c r="C16" s="20">
        <f>IFERROR((AVERAGEIFS('Input - Architecture'!$F$3:$F$50,'Input - Architecture'!$G$3:$G$50,"Experienced Associate over 2 years",'Input - Architecture'!$H$3:$H$50,"M",'Input - Architecture'!$I$3:$I$50,"QLD")),0)</f>
        <v>0</v>
      </c>
      <c r="D16" s="20">
        <f>IFERROR((_xlfn.MINIFS('Input - Architecture'!$F$3:$F$50,'Input - Architecture'!$G$3:$G$50,"Experienced Associate over 2 years",'Input - Architecture'!$H$3:$H$50,"M",'Input - Architecture'!$I$3:$I$50,"QLD")),0)</f>
        <v>0</v>
      </c>
      <c r="E16" s="21">
        <f>IFERROR((_xlfn.MAXIFS('Input - Architecture'!$F$3:$F$50,'Input - Architecture'!$G$3:$G$50,"Experienced Associate over 2 years",'Input - Architecture'!$H$3:$H$50,"M",'Input - Architecture'!$I$3:$I$50,"QLD")),0)</f>
        <v>0</v>
      </c>
      <c r="F16" s="10">
        <f>COUNTIFS('Input - Architecture'!$G$3:$G$50,"Experienced Associate over 2 years",'Input - Architecture'!$H$3:$H$50,"M",'Input - Architecture'!$I$3:$I$50,"NSW")</f>
        <v>0</v>
      </c>
      <c r="G16" s="12">
        <f>IFERROR((AVERAGEIFS('Input - Architecture'!$F$3:$F$50,'Input - Architecture'!$G$3:$G$50,"Experienced Associate over 2 years",'Input - Architecture'!$H$3:$H$50,"M",'Input - Architecture'!$I$3:$I$50,"NSW")),0)</f>
        <v>0</v>
      </c>
      <c r="H16" s="12">
        <f>IFERROR((_xlfn.MINIFS('Input - Architecture'!$F$3:$F$50,'Input - Architecture'!$G$3:$G$50,"Experienced Associate over 2 years",'Input - Architecture'!$H$3:$H$50,"M",'Input - Architecture'!$I$3:$I$50,"NSW")),0)</f>
        <v>0</v>
      </c>
      <c r="I16" s="15">
        <f>IFERROR((_xlfn.MAXIFS('Input - Architecture'!$F$3:$F$50,'Input - Architecture'!$G$3:$G$50,"Experienced Associate over 2 years",'Input - Architecture'!$H$3:$H$50,"M",'Input - Architecture'!$I$3:$I$50,"NSW")),0)</f>
        <v>0</v>
      </c>
      <c r="J16" s="19">
        <f>COUNTIFS('Input - Architecture'!$G$3:$G$50,"Experienced Associate over 2 years",'Input - Architecture'!$H$3:$H$50,"M",'Input - Architecture'!$I$3:$I$50,"VIC")</f>
        <v>0</v>
      </c>
      <c r="K16" s="20">
        <f>IFERROR((AVERAGEIFS('Input - Architecture'!$F$3:$F$50,'Input - Architecture'!$G$3:$G$50,"Experienced Associate over 2 years",'Input - Architecture'!$H$3:$H$50,"M",'Input - Architecture'!$I$3:$I$50,"VIC")),0)</f>
        <v>0</v>
      </c>
      <c r="L16" s="20">
        <f>IFERROR((_xlfn.MINIFS('Input - Architecture'!$F$3:$F$50,'Input - Architecture'!$G$3:$G$50,"Experienced Associate over 2 years",'Input - Architecture'!$H$3:$H$50,"M",'Input - Architecture'!$I$3:$I$50,"VIC")),0)</f>
        <v>0</v>
      </c>
      <c r="M16" s="21">
        <f>IFERROR((_xlfn.MAXIFS('Input - Architecture'!$F$3:$F$50,'Input - Architecture'!$G$3:$G$50,"Experienced Associate over 2 years",'Input - Architecture'!$H$3:$H$50,"M",'Input - Architecture'!$I$3:$I$50,"VIC")),0)</f>
        <v>0</v>
      </c>
      <c r="N16" s="10">
        <f>COUNTIFS('Input - Architecture'!$G$3:$G$50,"Experienced Associate over 2 years",'Input - Architecture'!$H$3:$H$50,"M",'Input - Architecture'!$I$3:$I$50,"SA")</f>
        <v>0</v>
      </c>
      <c r="O16" s="12">
        <f>IFERROR((AVERAGEIFS('Input - Architecture'!$F$3:$F$50,'Input - Architecture'!$G$3:$G$50,"Experienced Associate over 2 years",'Input - Architecture'!$H$3:$H$50,"M",'Input - Architecture'!$I$3:$I$50,"SA")),0)</f>
        <v>0</v>
      </c>
      <c r="P16" s="12">
        <f>IFERROR((_xlfn.MINIFS('Input - Architecture'!$F$3:$F$50,'Input - Architecture'!$G$3:$G$50,"Experienced Associate over 2 years",'Input - Architecture'!$H$3:$H$50,"M",'Input - Architecture'!$I$3:$I$50,"SA")),0)</f>
        <v>0</v>
      </c>
      <c r="Q16" s="15">
        <f>IFERROR((_xlfn.MAXIFS('Input - Architecture'!$F$3:$F$50,'Input - Architecture'!$G$3:$G$50,"Experienced Associate over 2 years",'Input - Architecture'!$H$3:$H$50,"M",'Input - Architecture'!$I$3:$I$50,"SA")),0)</f>
        <v>0</v>
      </c>
      <c r="R16" s="19">
        <f>COUNTIFS('Input - Architecture'!$G$3:$G$50,"Experienced Associate over 2 years",'Input - Architecture'!$H$3:$H$50,"M",'Input - Architecture'!$I$3:$I$50,"WA")</f>
        <v>0</v>
      </c>
      <c r="S16" s="20">
        <f>IFERROR((AVERAGEIFS('Input - Architecture'!$F$3:$F$50,'Input - Architecture'!$G$3:$G$50,"Experienced Associate over 2 years",'Input - Architecture'!$H$3:$H$50,"M",'Input - Architecture'!$I$3:$I$50,"WA")),0)</f>
        <v>0</v>
      </c>
      <c r="T16" s="20">
        <f>IFERROR((_xlfn.MINIFS('Input - Architecture'!$F$3:$F$50,'Input - Architecture'!$G$3:$G$50,"Experienced Associate over 2 years",'Input - Architecture'!$H$3:$H$50,"M",'Input - Architecture'!$I$3:$I$50,"WA")),0)</f>
        <v>0</v>
      </c>
      <c r="U16" s="21">
        <f>IFERROR((_xlfn.MAXIFS('Input - Architecture'!$F$3:$F$50,'Input - Architecture'!$G$3:$G$50,"Experienced Associate over 2 years",'Input - Architecture'!$H$3:$H$50,"M",'Input - Architecture'!$I$3:$I$50,"WA")),0)</f>
        <v>0</v>
      </c>
      <c r="V16" s="10">
        <f>COUNTIFS('Input - Architecture'!$G$3:$G$50,"Experienced Associate over 2 years",'Input - Architecture'!$H$3:$H$50,"M",'Input - Architecture'!$I$3:$I$50,"TAS")</f>
        <v>0</v>
      </c>
      <c r="W16" s="12">
        <f>IFERROR((AVERAGEIFS('Input - Architecture'!$F$3:$F$50,'Input - Architecture'!$G$3:$G$50,"Experienced Associate over 2 years",'Input - Architecture'!$H$3:$H$50,"M",'Input - Architecture'!$I$3:$I$50,"TAS")),0)</f>
        <v>0</v>
      </c>
      <c r="X16" s="12">
        <f>IFERROR((_xlfn.MINIFS('Input - Architecture'!$F$3:$F$50,'Input - Architecture'!$G$3:$G$50,"Experienced Associate over 2 years",'Input - Architecture'!$H$3:$H$50,"M",'Input - Architecture'!$I$3:$I$50,"TAS")),0)</f>
        <v>0</v>
      </c>
      <c r="Y16" s="15">
        <f>IFERROR((_xlfn.MAXIFS('Input - Architecture'!$F$3:$F$50,'Input - Architecture'!$G$3:$G$50,"Experienced Associate over 2 years",'Input - Architecture'!$H$3:$H$50,"M",'Input - Architecture'!$I$3:$I$50,"TAS")),0)</f>
        <v>0</v>
      </c>
      <c r="Z16" s="19">
        <f>COUNTIFS('Input - Architecture'!$G$3:$G$50,"Experienced Associate over 2 years",'Input - Architecture'!$H$3:$H$50,"M",'Input - Architecture'!$I$3:$I$50,"NT")</f>
        <v>0</v>
      </c>
      <c r="AA16" s="20">
        <f>IFERROR((AVERAGEIFS('Input - Architecture'!$F$3:$F$50,'Input - Architecture'!$G$3:$G$50,"Experienced Associate over 2 years",'Input - Architecture'!$H$3:$H$50,"M",'Input - Architecture'!$I$3:$I$50,"NT")),0)</f>
        <v>0</v>
      </c>
      <c r="AB16" s="20">
        <f>IFERROR((_xlfn.MINIFS('Input - Architecture'!$F$3:$F$50,'Input - Architecture'!$G$3:$G$50,"Experienced Associate over 2 years",'Input - Architecture'!$H$3:$H$50,"M",'Input - Architecture'!$I$3:$I$50,"NT")),0)</f>
        <v>0</v>
      </c>
      <c r="AC16" s="21">
        <f>IFERROR((_xlfn.MAXIFS('Input - Architecture'!$F$3:$F$50,'Input - Architecture'!$G$3:$G$50,"Experienced Associate over 2 years",'Input - Architecture'!$H$3:$H$50,"M",'Input - Architecture'!$I$3:$I$50,"NT")),0)</f>
        <v>0</v>
      </c>
      <c r="AD16" s="10">
        <f>COUNTIFS('Input - Architecture'!$G$3:$G$50,"Experienced Associate over 2 years",'Input - Architecture'!$H$3:$H$50,"M",'Input - Architecture'!$I$3:$I$50,"ACT")</f>
        <v>0</v>
      </c>
      <c r="AE16" s="12">
        <f>IFERROR((AVERAGEIFS('Input - Architecture'!$F$3:$F$50,'Input - Architecture'!$G$3:$G$50,"Experienced Associate over 2 years",'Input - Architecture'!$H$3:$H$50,"M",'Input - Architecture'!$I$3:$I$50,"ACT")),0)</f>
        <v>0</v>
      </c>
      <c r="AF16" s="12">
        <f>IFERROR((_xlfn.MINIFS('Input - Architecture'!$F$3:$F$50,'Input - Architecture'!$G$3:$G$50,"Experienced Associate over 2 years",'Input - Architecture'!$H$3:$H$50,"M",'Input - Architecture'!$I$3:$I$50,"ACT")),0)</f>
        <v>0</v>
      </c>
      <c r="AG16" s="15">
        <f>IFERROR((_xlfn.MAXIFS('Input - Architecture'!$F$3:$F$50,'Input - Architecture'!$G$3:$G$50,"Experienced Associate over 2 years",'Input - Architecture'!$H$3:$H$50,"M",'Input - Architecture'!$I$3:$I$50,"ACT")),0)</f>
        <v>0</v>
      </c>
    </row>
    <row r="17" spans="1:33" x14ac:dyDescent="0.35">
      <c r="A17" s="11" t="s">
        <v>75</v>
      </c>
      <c r="B17" s="19">
        <f>COUNTIFS('Input - Architecture'!$G$3:$G$50,"Experienced Associate over 2 years",'Input - Architecture'!$H$3:$H$50,"F",'Input - Architecture'!$I$3:$I$50,"QLD")</f>
        <v>1</v>
      </c>
      <c r="C17" s="20">
        <f>IFERROR((AVERAGEIFS('Input - Architecture'!$F$3:$F$50,'Input - Architecture'!$G$3:$G$50,"Experienced Associate over 2 years",'Input - Architecture'!$H$3:$H$50,"F",'Input - Architecture'!$I$3:$I$50,"QLD")),0)</f>
        <v>1276.8</v>
      </c>
      <c r="D17" s="20">
        <f>IFERROR((_xlfn.MINIFS('Input - Architecture'!$F$3:$F$50,'Input - Architecture'!$G$3:$G$50,"Experienced Associate over 2 years",'Input - Architecture'!$H$3:$H$50,"F",'Input - Architecture'!$I$3:$I$50,"QLD")),0)</f>
        <v>1276.8</v>
      </c>
      <c r="E17" s="21">
        <f>IFERROR((_xlfn.MAXIFS('Input - Architecture'!$F$3:$F$50,'Input - Architecture'!$G$3:$G$50,"Experienced Associate over 2 years",'Input - Architecture'!$H$3:$H$50,"F",'Input - Architecture'!$I$3:$I$50,"QLD")),0)</f>
        <v>1276.8</v>
      </c>
      <c r="F17" s="10">
        <f>COUNTIFS('Input - Architecture'!$G$3:$G$50,"Experienced Associate over 2 years",'Input - Architecture'!$H$3:$H$50,"F",'Input - Architecture'!$I$3:$I$50,"NSW")</f>
        <v>0</v>
      </c>
      <c r="G17" s="12">
        <f>IFERROR((AVERAGEIFS('Input - Architecture'!$F$3:$F$50,'Input - Architecture'!$G$3:$G$50,"Experienced Associate over 2 years",'Input - Architecture'!$H$3:$H$50,"F",'Input - Architecture'!$I$3:$I$50,"NSW")),0)</f>
        <v>0</v>
      </c>
      <c r="H17" s="12">
        <f>IFERROR((_xlfn.MINIFS('Input - Architecture'!$F$3:$F$50,'Input - Architecture'!$G$3:$G$50,"Experienced Associate over 2 years",'Input - Architecture'!$H$3:$H$50,"F",'Input - Architecture'!$I$3:$I$50,"NSW")),0)</f>
        <v>0</v>
      </c>
      <c r="I17" s="15">
        <f>IFERROR((_xlfn.MAXIFS('Input - Architecture'!$F$3:$F$50,'Input - Architecture'!$G$3:$G$50,"Experienced Associate over 2 years",'Input - Architecture'!$H$3:$H$50,"F",'Input - Architecture'!$I$3:$I$50,"NSW")),0)</f>
        <v>0</v>
      </c>
      <c r="J17" s="19">
        <f>COUNTIFS('Input - Architecture'!$G$3:$G$50,"Experienced Associate over 2 years",'Input - Architecture'!$H$3:$H$50,"F",'Input - Architecture'!$I$3:$I$50,"VIC")</f>
        <v>0</v>
      </c>
      <c r="K17" s="20">
        <f>IFERROR((AVERAGEIFS('Input - Architecture'!$F$3:$F$50,'Input - Architecture'!$G$3:$G$50,"Experienced Associate over 2 years",'Input - Architecture'!$H$3:$H$50,"F",'Input - Architecture'!$I$3:$I$50,"VIC")),0)</f>
        <v>0</v>
      </c>
      <c r="L17" s="20">
        <f>IFERROR((_xlfn.MINIFS('Input - Architecture'!$F$3:$F$50,'Input - Architecture'!$G$3:$G$50,"Experienced Associate over 2 years",'Input - Architecture'!$H$3:$H$50,"F",'Input - Architecture'!$I$3:$I$50,"VIC")),0)</f>
        <v>0</v>
      </c>
      <c r="M17" s="21">
        <f>IFERROR((_xlfn.MAXIFS('Input - Architecture'!$F$3:$F$50,'Input - Architecture'!$G$3:$G$50,"Experienced Associate over 2 years",'Input - Architecture'!$H$3:$H$50,"F",'Input - Architecture'!$I$3:$I$50,"VIC")),0)</f>
        <v>0</v>
      </c>
      <c r="N17" s="10">
        <f>COUNTIFS('Input - Architecture'!$G$3:$G$50,"Experienced Associate over 2 years",'Input - Architecture'!$H$3:$H$50,"F",'Input - Architecture'!$I$3:$I$50,"SA")</f>
        <v>0</v>
      </c>
      <c r="O17" s="12">
        <f>IFERROR((AVERAGEIFS('Input - Architecture'!$F$3:$F$50,'Input - Architecture'!$G$3:$G$50,"Experienced Associate over 2 years",'Input - Architecture'!$H$3:$H$50,"F",'Input - Architecture'!$I$3:$I$50,"SA")),0)</f>
        <v>0</v>
      </c>
      <c r="P17" s="12">
        <f>IFERROR((_xlfn.MINIFS('Input - Architecture'!$F$3:$F$50,'Input - Architecture'!$G$3:$G$50,"Experienced Associate over 2 years",'Input - Architecture'!$H$3:$H$50,"F",'Input - Architecture'!$I$3:$I$50,"SA")),0)</f>
        <v>0</v>
      </c>
      <c r="Q17" s="15">
        <f>IFERROR((_xlfn.MAXIFS('Input - Architecture'!$F$3:$F$50,'Input - Architecture'!$G$3:$G$50,"Experienced Associate over 2 years",'Input - Architecture'!$H$3:$H$50,"F",'Input - Architecture'!$I$3:$I$50,"SA")),0)</f>
        <v>0</v>
      </c>
      <c r="R17" s="19">
        <f>COUNTIFS('Input - Architecture'!$G$3:$G$50,"Experienced Associate over 2 years",'Input - Architecture'!$H$3:$H$50,"F",'Input - Architecture'!$I$3:$I$50,"WA")</f>
        <v>0</v>
      </c>
      <c r="S17" s="20">
        <f>IFERROR((AVERAGEIFS('Input - Architecture'!$F$3:$F$50,'Input - Architecture'!$G$3:$G$50,"Experienced Associate over 2 years",'Input - Architecture'!$H$3:$H$50,"F",'Input - Architecture'!$I$3:$I$50,"WA")),0)</f>
        <v>0</v>
      </c>
      <c r="T17" s="20">
        <f>IFERROR((_xlfn.MINIFS('Input - Architecture'!$F$3:$F$50,'Input - Architecture'!$G$3:$G$50,"Experienced Associate over 2 years",'Input - Architecture'!$H$3:$H$50,"F",'Input - Architecture'!$I$3:$I$50,"WA")),0)</f>
        <v>0</v>
      </c>
      <c r="U17" s="21">
        <f>IFERROR((_xlfn.MAXIFS('Input - Architecture'!$F$3:$F$50,'Input - Architecture'!$G$3:$G$50,"Experienced Associate over 2 years",'Input - Architecture'!$H$3:$H$50,"F",'Input - Architecture'!$I$3:$I$50,"WA")),0)</f>
        <v>0</v>
      </c>
      <c r="V17" s="10">
        <f>COUNTIFS('Input - Architecture'!$G$3:$G$50,"Experienced Associate over 2 years",'Input - Architecture'!$H$3:$H$50,"F",'Input - Architecture'!$I$3:$I$50,"TAS")</f>
        <v>0</v>
      </c>
      <c r="W17" s="12">
        <f>IFERROR((AVERAGEIFS('Input - Architecture'!$F$3:$F$50,'Input - Architecture'!$G$3:$G$50,"Experienced Associate over 2 years",'Input - Architecture'!$H$3:$H$50,"F",'Input - Architecture'!$I$3:$I$50,"TAS")),0)</f>
        <v>0</v>
      </c>
      <c r="X17" s="12">
        <f>IFERROR((_xlfn.MINIFS('Input - Architecture'!$F$3:$F$50,'Input - Architecture'!$G$3:$G$50,"Experienced Associate over 2 years",'Input - Architecture'!$H$3:$H$50,"F",'Input - Architecture'!$I$3:$I$50,"TAS")),0)</f>
        <v>0</v>
      </c>
      <c r="Y17" s="15">
        <f>IFERROR((_xlfn.MAXIFS('Input - Architecture'!$F$3:$F$50,'Input - Architecture'!$G$3:$G$50,"Experienced Associate over 2 years",'Input - Architecture'!$H$3:$H$50,"F",'Input - Architecture'!$I$3:$I$50,"TAS")),0)</f>
        <v>0</v>
      </c>
      <c r="Z17" s="19">
        <f>COUNTIFS('Input - Architecture'!$G$3:$G$50,"Experienced Associate over 2 years",'Input - Architecture'!$H$3:$H$50,"F",'Input - Architecture'!$I$3:$I$50,"NT")</f>
        <v>0</v>
      </c>
      <c r="AA17" s="20">
        <f>IFERROR((AVERAGEIFS('Input - Architecture'!$F$3:$F$50,'Input - Architecture'!$G$3:$G$50,"Experienced Associate over 2 years",'Input - Architecture'!$H$3:$H$50,"F",'Input - Architecture'!$I$3:$I$50,"NT")),0)</f>
        <v>0</v>
      </c>
      <c r="AB17" s="20">
        <f>IFERROR((_xlfn.MINIFS('Input - Architecture'!$F$3:$F$50,'Input - Architecture'!$G$3:$G$50,"Experienced Associate over 2 years",'Input - Architecture'!$H$3:$H$50,"F",'Input - Architecture'!$I$3:$I$50,"NT")),0)</f>
        <v>0</v>
      </c>
      <c r="AC17" s="21">
        <f>IFERROR((_xlfn.MAXIFS('Input - Architecture'!$F$3:$F$50,'Input - Architecture'!$G$3:$G$50,"Experienced Associate over 2 years",'Input - Architecture'!$H$3:$H$50,"F",'Input - Architecture'!$I$3:$I$50,"NT")),0)</f>
        <v>0</v>
      </c>
      <c r="AD17" s="10">
        <f>COUNTIFS('Input - Architecture'!$G$3:$G$50,"Experienced Associate over 2 years",'Input - Architecture'!$H$3:$H$50,"F",'Input - Architecture'!$I$3:$I$50,"ACT")</f>
        <v>0</v>
      </c>
      <c r="AE17" s="12">
        <f>IFERROR((AVERAGEIFS('Input - Architecture'!$F$3:$F$50,'Input - Architecture'!$G$3:$G$50,"Experienced Associate over 2 years",'Input - Architecture'!$H$3:$H$50,"F",'Input - Architecture'!$I$3:$I$50,"ACT")),0)</f>
        <v>0</v>
      </c>
      <c r="AF17" s="12">
        <f>IFERROR((_xlfn.MINIFS('Input - Architecture'!$F$3:$F$50,'Input - Architecture'!$G$3:$G$50,"Experienced Associate over 2 years",'Input - Architecture'!$H$3:$H$50,"F",'Input - Architecture'!$I$3:$I$50,"ACT")),0)</f>
        <v>0</v>
      </c>
      <c r="AG17" s="15">
        <f>IFERROR((_xlfn.MAXIFS('Input - Architecture'!$F$3:$F$50,'Input - Architecture'!$G$3:$G$50,"Experienced Associate over 2 years",'Input - Architecture'!$H$3:$H$50,"F",'Input - Architecture'!$I$3:$I$50,"ACT")),0)</f>
        <v>0</v>
      </c>
    </row>
    <row r="18" spans="1:33" x14ac:dyDescent="0.35">
      <c r="A18" s="11" t="s">
        <v>76</v>
      </c>
      <c r="B18" s="19">
        <f>COUNTIFS('Input - Architecture'!$G$3:$G$50,"New Director/Principal",'Input - Architecture'!$H$3:$H$50,"M",'Input - Architecture'!$I$3:$I$50,"QLD")</f>
        <v>0</v>
      </c>
      <c r="C18" s="20">
        <f>IFERROR((AVERAGEIFS('Input - Architecture'!$F$3:$F$50,'Input - Architecture'!$G$3:$G$50,"New Director/Principal",'Input - Architecture'!$H$3:$H$50,"M",'Input - Architecture'!$I$3:$I$50,"QLD")),0)</f>
        <v>0</v>
      </c>
      <c r="D18" s="20">
        <f>IFERROR((_xlfn.MINIFS('Input - Architecture'!$F$3:$F$50,'Input - Architecture'!$G$3:$G$50,"New Director/Principal",'Input - Architecture'!$H$3:$H$50,"M",'Input - Architecture'!$I$3:$I$50,"QLD")),0)</f>
        <v>0</v>
      </c>
      <c r="E18" s="21">
        <f>IFERROR((_xlfn.MAXIFS('Input - Architecture'!$F$3:$F$50,'Input - Architecture'!$G$3:$G$50,"New Director/Principal",'Input - Architecture'!$H$3:$H$50,"M",'Input - Architecture'!$I$3:$I$50,"QLD")),0)</f>
        <v>0</v>
      </c>
      <c r="F18" s="10">
        <f>COUNTIFS('Input - Architecture'!$G$3:$G$50,"New Director/Principal",'Input - Architecture'!$H$3:$H$50,"M",'Input - Architecture'!$I$3:$I$50,"NSW")</f>
        <v>0</v>
      </c>
      <c r="G18" s="12">
        <f>IFERROR((AVERAGEIFS('Input - Architecture'!$F$3:$F$50,'Input - Architecture'!$G$3:$G$50,"New Director/Principal",'Input - Architecture'!$H$3:$H$50,"M",'Input - Architecture'!$I$3:$I$50,"NSW")),0)</f>
        <v>0</v>
      </c>
      <c r="H18" s="12">
        <f>IFERROR((_xlfn.MINIFS('Input - Architecture'!$F$3:$F$50,'Input - Architecture'!$G$3:$G$50,"New Director/Principal",'Input - Architecture'!$H$3:$H$50,"M",'Input - Architecture'!$I$3:$I$50,"NSW")),0)</f>
        <v>0</v>
      </c>
      <c r="I18" s="15">
        <f>IFERROR((_xlfn.MAXIFS('Input - Architecture'!$F$3:$F$50,'Input - Architecture'!$G$3:$G$50,"New Director/Principal",'Input - Architecture'!$H$3:$H$50,"M",'Input - Architecture'!$I$3:$I$50,"NSW")),0)</f>
        <v>0</v>
      </c>
      <c r="J18" s="19">
        <f>COUNTIFS('Input - Architecture'!$G$3:$G$50,"New Director/Principal",'Input - Architecture'!$H$3:$H$50,"M",'Input - Architecture'!$I$3:$I$50,"VIC")</f>
        <v>0</v>
      </c>
      <c r="K18" s="20">
        <f>IFERROR((AVERAGEIFS('Input - Architecture'!$F$3:$F$50,'Input - Architecture'!$G$3:$G$50,"New Director/Principal",'Input - Architecture'!$H$3:$H$50,"M",'Input - Architecture'!$I$3:$I$50,"VIC")),0)</f>
        <v>0</v>
      </c>
      <c r="L18" s="20">
        <f>IFERROR((_xlfn.MINIFS('Input - Architecture'!$F$3:$F$50,'Input - Architecture'!$G$3:$G$50,"New Director/Principal",'Input - Architecture'!$H$3:$H$50,"M",'Input - Architecture'!$I$3:$I$50,"VIC")),0)</f>
        <v>0</v>
      </c>
      <c r="M18" s="21">
        <f>IFERROR((_xlfn.MAXIFS('Input - Architecture'!$F$3:$F$50,'Input - Architecture'!$G$3:$G$50,"New Director/Principal",'Input - Architecture'!$H$3:$H$50,"M",'Input - Architecture'!$I$3:$I$50,"VIC")),0)</f>
        <v>0</v>
      </c>
      <c r="N18" s="10">
        <f>COUNTIFS('Input - Architecture'!$G$3:$G$50,"New Director/Principal",'Input - Architecture'!$H$3:$H$50,"M",'Input - Architecture'!$I$3:$I$50,"SA")</f>
        <v>0</v>
      </c>
      <c r="O18" s="12">
        <f>IFERROR((AVERAGEIFS('Input - Architecture'!$F$3:$F$50,'Input - Architecture'!$G$3:$G$50,"New Director/Principal",'Input - Architecture'!$H$3:$H$50,"M",'Input - Architecture'!$I$3:$I$50,"SA")),0)</f>
        <v>0</v>
      </c>
      <c r="P18" s="12">
        <f>IFERROR((_xlfn.MINIFS('Input - Architecture'!$F$3:$F$50,'Input - Architecture'!$G$3:$G$50,"New Director/Principal",'Input - Architecture'!$H$3:$H$50,"M",'Input - Architecture'!$I$3:$I$50,"SA")),0)</f>
        <v>0</v>
      </c>
      <c r="Q18" s="15">
        <f>IFERROR((_xlfn.MAXIFS('Input - Architecture'!$F$3:$F$50,'Input - Architecture'!$G$3:$G$50,"New Director/Principal",'Input - Architecture'!$H$3:$H$50,"M",'Input - Architecture'!$I$3:$I$50,"SA")),0)</f>
        <v>0</v>
      </c>
      <c r="R18" s="19">
        <f>COUNTIFS('Input - Architecture'!$G$3:$G$50,"New Director/Principal",'Input - Architecture'!$H$3:$H$50,"M",'Input - Architecture'!$I$3:$I$50,"WA")</f>
        <v>0</v>
      </c>
      <c r="S18" s="20">
        <f>IFERROR((AVERAGEIFS('Input - Architecture'!$F$3:$F$50,'Input - Architecture'!$G$3:$G$50,"New Director/Principal",'Input - Architecture'!$H$3:$H$50,"M",'Input - Architecture'!$I$3:$I$50,"WA")),0)</f>
        <v>0</v>
      </c>
      <c r="T18" s="20">
        <f>IFERROR((_xlfn.MINIFS('Input - Architecture'!$F$3:$F$50,'Input - Architecture'!$G$3:$G$50,"New Director/Principal",'Input - Architecture'!$H$3:$H$50,"M",'Input - Architecture'!$I$3:$I$50,"WA")),0)</f>
        <v>0</v>
      </c>
      <c r="U18" s="21">
        <f>IFERROR((_xlfn.MAXIFS('Input - Architecture'!$F$3:$F$50,'Input - Architecture'!$G$3:$G$50,"New Director/Principal",'Input - Architecture'!$H$3:$H$50,"M",'Input - Architecture'!$I$3:$I$50,"WA")),0)</f>
        <v>0</v>
      </c>
      <c r="V18" s="10">
        <f>COUNTIFS('Input - Architecture'!$G$3:$G$50,"New Director/Principal",'Input - Architecture'!$H$3:$H$50,"M",'Input - Architecture'!$I$3:$I$50,"TAS")</f>
        <v>0</v>
      </c>
      <c r="W18" s="12">
        <f>IFERROR((AVERAGEIFS('Input - Architecture'!$F$3:$F$50,'Input - Architecture'!$G$3:$G$50,"New Director/Principal",'Input - Architecture'!$H$3:$H$50,"M",'Input - Architecture'!$I$3:$I$50,"TAS")),0)</f>
        <v>0</v>
      </c>
      <c r="X18" s="12">
        <f>IFERROR((_xlfn.MINIFS('Input - Architecture'!$F$3:$F$50,'Input - Architecture'!$G$3:$G$50,"New Director/Principal",'Input - Architecture'!$H$3:$H$50,"M",'Input - Architecture'!$I$3:$I$50,"TAS")),0)</f>
        <v>0</v>
      </c>
      <c r="Y18" s="15">
        <f>IFERROR((_xlfn.MAXIFS('Input - Architecture'!$F$3:$F$50,'Input - Architecture'!$G$3:$G$50,"New Director/Principal",'Input - Architecture'!$H$3:$H$50,"M",'Input - Architecture'!$I$3:$I$50,"TAS")),0)</f>
        <v>0</v>
      </c>
      <c r="Z18" s="19">
        <f>COUNTIFS('Input - Architecture'!$G$3:$G$50,"New Director/Principal",'Input - Architecture'!$H$3:$H$50,"M",'Input - Architecture'!$I$3:$I$50,"NT")</f>
        <v>0</v>
      </c>
      <c r="AA18" s="20">
        <f>IFERROR((AVERAGEIFS('Input - Architecture'!$F$3:$F$50,'Input - Architecture'!$G$3:$G$50,"New Director/Principal",'Input - Architecture'!$H$3:$H$50,"M",'Input - Architecture'!$I$3:$I$50,"NT")),0)</f>
        <v>0</v>
      </c>
      <c r="AB18" s="20">
        <f>IFERROR((_xlfn.MINIFS('Input - Architecture'!$F$3:$F$50,'Input - Architecture'!$G$3:$G$50,"New Director/Principal",'Input - Architecture'!$H$3:$H$50,"M",'Input - Architecture'!$I$3:$I$50,"NT")),0)</f>
        <v>0</v>
      </c>
      <c r="AC18" s="21">
        <f>IFERROR((_xlfn.MAXIFS('Input - Architecture'!$F$3:$F$50,'Input - Architecture'!$G$3:$G$50,"New Director/Principal",'Input - Architecture'!$H$3:$H$50,"M",'Input - Architecture'!$I$3:$I$50,"NT")),0)</f>
        <v>0</v>
      </c>
      <c r="AD18" s="10">
        <f>COUNTIFS('Input - Architecture'!$G$3:$G$50,"New Director/Principal",'Input - Architecture'!$H$3:$H$50,"M",'Input - Architecture'!$I$3:$I$50,"ACT")</f>
        <v>0</v>
      </c>
      <c r="AE18" s="12">
        <f>IFERROR((AVERAGEIFS('Input - Architecture'!$F$3:$F$50,'Input - Architecture'!$G$3:$G$50,"New Director/Principal",'Input - Architecture'!$H$3:$H$50,"M",'Input - Architecture'!$I$3:$I$50,"ACT")),0)</f>
        <v>0</v>
      </c>
      <c r="AF18" s="12">
        <f>IFERROR((_xlfn.MINIFS('Input - Architecture'!$F$3:$F$50,'Input - Architecture'!$G$3:$G$50,"New Director/Principal",'Input - Architecture'!$H$3:$H$50,"M",'Input - Architecture'!$I$3:$I$50,"ACT")),0)</f>
        <v>0</v>
      </c>
      <c r="AG18" s="15">
        <f>IFERROR((_xlfn.MAXIFS('Input - Architecture'!$F$3:$F$50,'Input - Architecture'!$G$3:$G$50,"New Director/Principal",'Input - Architecture'!$H$3:$H$50,"M",'Input - Architecture'!$I$3:$I$50,"ACT")),0)</f>
        <v>0</v>
      </c>
    </row>
    <row r="19" spans="1:33" x14ac:dyDescent="0.35">
      <c r="A19" s="11" t="s">
        <v>77</v>
      </c>
      <c r="B19" s="19">
        <f>COUNTIFS('Input - Architecture'!$G$3:$G$50,"New Director/Principal",'Input - Architecture'!$H$3:$H$50,"F",'Input - Architecture'!$I$3:$I$50,"QLD")</f>
        <v>0</v>
      </c>
      <c r="C19" s="20">
        <f>IFERROR((AVERAGEIFS('Input - Architecture'!$F$3:$F$50,'Input - Architecture'!$G$3:$G$50,"New Director/Principal",'Input - Architecture'!$H$3:$H$50,"F",'Input - Architecture'!$I$3:$I$50,"QLD")),0)</f>
        <v>0</v>
      </c>
      <c r="D19" s="20">
        <f>IFERROR((_xlfn.MINIFS('Input - Architecture'!$F$3:$F$50,'Input - Architecture'!$G$3:$G$50,"New Director/Principal",'Input - Architecture'!$H$3:$H$50,"F",'Input - Architecture'!$I$3:$I$50,"QLD")),0)</f>
        <v>0</v>
      </c>
      <c r="E19" s="21">
        <f>IFERROR((_xlfn.MAXIFS('Input - Architecture'!$F$3:$F$50,'Input - Architecture'!$G$3:$G$50,"New Director/Principal",'Input - Architecture'!$H$3:$H$50,"F",'Input - Architecture'!$I$3:$I$50,"QLD")),0)</f>
        <v>0</v>
      </c>
      <c r="F19" s="10">
        <f>COUNTIFS('Input - Architecture'!$G$3:$G$50,"New Director/Principal",'Input - Architecture'!$H$3:$H$50,"F",'Input - Architecture'!$I$3:$I$50,"NSW")</f>
        <v>0</v>
      </c>
      <c r="G19" s="12">
        <f>IFERROR((AVERAGEIFS('Input - Architecture'!$F$3:$F$50,'Input - Architecture'!$G$3:$G$50,"New Director/Principal",'Input - Architecture'!$H$3:$H$50,"F",'Input - Architecture'!$I$3:$I$50,"NSW")),0)</f>
        <v>0</v>
      </c>
      <c r="H19" s="12">
        <f>IFERROR((_xlfn.MINIFS('Input - Architecture'!$F$3:$F$50,'Input - Architecture'!$G$3:$G$50,"New Director/Principal",'Input - Architecture'!$H$3:$H$50,"F",'Input - Architecture'!$I$3:$I$50,"NSW")),0)</f>
        <v>0</v>
      </c>
      <c r="I19" s="15">
        <f>IFERROR((_xlfn.MAXIFS('Input - Architecture'!$F$3:$F$50,'Input - Architecture'!$G$3:$G$50,"New Director/Principal",'Input - Architecture'!$H$3:$H$50,"F",'Input - Architecture'!$I$3:$I$50,"NSW")),0)</f>
        <v>0</v>
      </c>
      <c r="J19" s="19">
        <f>COUNTIFS('Input - Architecture'!$G$3:$G$50,"New Director/Principal",'Input - Architecture'!$H$3:$H$50,"F",'Input - Architecture'!$I$3:$I$50,"VIC")</f>
        <v>0</v>
      </c>
      <c r="K19" s="20">
        <f>IFERROR((AVERAGEIFS('Input - Architecture'!$F$3:$F$50,'Input - Architecture'!$G$3:$G$50,"New Director/Principal",'Input - Architecture'!$H$3:$H$50,"F",'Input - Architecture'!$I$3:$I$50,"VIC")),0)</f>
        <v>0</v>
      </c>
      <c r="L19" s="20">
        <f>IFERROR((_xlfn.MINIFS('Input - Architecture'!$F$3:$F$50,'Input - Architecture'!$G$3:$G$50,"New Director/Principal",'Input - Architecture'!$H$3:$H$50,"F",'Input - Architecture'!$I$3:$I$50,"VIC")),0)</f>
        <v>0</v>
      </c>
      <c r="M19" s="21">
        <f>IFERROR((_xlfn.MAXIFS('Input - Architecture'!$F$3:$F$50,'Input - Architecture'!$G$3:$G$50,"New Director/Principal",'Input - Architecture'!$H$3:$H$50,"F",'Input - Architecture'!$I$3:$I$50,"VIC")),0)</f>
        <v>0</v>
      </c>
      <c r="N19" s="10">
        <f>COUNTIFS('Input - Architecture'!$G$3:$G$50,"New Director/Principal",'Input - Architecture'!$H$3:$H$50,"F",'Input - Architecture'!$I$3:$I$50,"SA")</f>
        <v>0</v>
      </c>
      <c r="O19" s="12">
        <f>IFERROR((AVERAGEIFS('Input - Architecture'!$F$3:$F$50,'Input - Architecture'!$G$3:$G$50,"New Director/Principal",'Input - Architecture'!$H$3:$H$50,"F",'Input - Architecture'!$I$3:$I$50,"SA")),0)</f>
        <v>0</v>
      </c>
      <c r="P19" s="12">
        <f>IFERROR((_xlfn.MINIFS('Input - Architecture'!$F$3:$F$50,'Input - Architecture'!$G$3:$G$50,"New Director/Principal",'Input - Architecture'!$H$3:$H$50,"F",'Input - Architecture'!$I$3:$I$50,"SA")),0)</f>
        <v>0</v>
      </c>
      <c r="Q19" s="15">
        <f>IFERROR((_xlfn.MAXIFS('Input - Architecture'!$F$3:$F$50,'Input - Architecture'!$G$3:$G$50,"New Director/Principal",'Input - Architecture'!$H$3:$H$50,"F",'Input - Architecture'!$I$3:$I$50,"SA")),0)</f>
        <v>0</v>
      </c>
      <c r="R19" s="19">
        <f>COUNTIFS('Input - Architecture'!$G$3:$G$50,"New Director/Principal",'Input - Architecture'!$H$3:$H$50,"F",'Input - Architecture'!$I$3:$I$50,"WA")</f>
        <v>0</v>
      </c>
      <c r="S19" s="20">
        <f>IFERROR((AVERAGEIFS('Input - Architecture'!$F$3:$F$50,'Input - Architecture'!$G$3:$G$50,"New Director/Principal",'Input - Architecture'!$H$3:$H$50,"F",'Input - Architecture'!$I$3:$I$50,"WA")),0)</f>
        <v>0</v>
      </c>
      <c r="T19" s="20">
        <f>IFERROR((_xlfn.MINIFS('Input - Architecture'!$F$3:$F$50,'Input - Architecture'!$G$3:$G$50,"New Director/Principal",'Input - Architecture'!$H$3:$H$50,"F",'Input - Architecture'!$I$3:$I$50,"WA")),0)</f>
        <v>0</v>
      </c>
      <c r="U19" s="21">
        <f>IFERROR((_xlfn.MAXIFS('Input - Architecture'!$F$3:$F$50,'Input - Architecture'!$G$3:$G$50,"New Director/Principal",'Input - Architecture'!$H$3:$H$50,"F",'Input - Architecture'!$I$3:$I$50,"WA")),0)</f>
        <v>0</v>
      </c>
      <c r="V19" s="10">
        <f>COUNTIFS('Input - Architecture'!$G$3:$G$50,"New Director/Principal",'Input - Architecture'!$H$3:$H$50,"F",'Input - Architecture'!$I$3:$I$50,"TAS")</f>
        <v>0</v>
      </c>
      <c r="W19" s="12">
        <f>IFERROR((AVERAGEIFS('Input - Architecture'!$F$3:$F$50,'Input - Architecture'!$G$3:$G$50,"New Director/Principal",'Input - Architecture'!$H$3:$H$50,"F",'Input - Architecture'!$I$3:$I$50,"TAS")),0)</f>
        <v>0</v>
      </c>
      <c r="X19" s="12">
        <f>IFERROR((_xlfn.MINIFS('Input - Architecture'!$F$3:$F$50,'Input - Architecture'!$G$3:$G$50,"New Director/Principal",'Input - Architecture'!$H$3:$H$50,"F",'Input - Architecture'!$I$3:$I$50,"TAS")),0)</f>
        <v>0</v>
      </c>
      <c r="Y19" s="15">
        <f>IFERROR((_xlfn.MAXIFS('Input - Architecture'!$F$3:$F$50,'Input - Architecture'!$G$3:$G$50,"New Director/Principal",'Input - Architecture'!$H$3:$H$50,"F",'Input - Architecture'!$I$3:$I$50,"TAS")),0)</f>
        <v>0</v>
      </c>
      <c r="Z19" s="19">
        <f>COUNTIFS('Input - Architecture'!$G$3:$G$50,"New Director/Principal",'Input - Architecture'!$H$3:$H$50,"F",'Input - Architecture'!$I$3:$I$50,"NT")</f>
        <v>0</v>
      </c>
      <c r="AA19" s="20">
        <f>IFERROR((AVERAGEIFS('Input - Architecture'!$F$3:$F$50,'Input - Architecture'!$G$3:$G$50,"New Director/Principal",'Input - Architecture'!$H$3:$H$50,"F",'Input - Architecture'!$I$3:$I$50,"NT")),0)</f>
        <v>0</v>
      </c>
      <c r="AB19" s="20">
        <f>IFERROR((_xlfn.MINIFS('Input - Architecture'!$F$3:$F$50,'Input - Architecture'!$G$3:$G$50,"New Director/Principal",'Input - Architecture'!$H$3:$H$50,"F",'Input - Architecture'!$I$3:$I$50,"NT")),0)</f>
        <v>0</v>
      </c>
      <c r="AC19" s="21">
        <f>IFERROR((_xlfn.MAXIFS('Input - Architecture'!$F$3:$F$50,'Input - Architecture'!$G$3:$G$50,"New Director/Principal",'Input - Architecture'!$H$3:$H$50,"F",'Input - Architecture'!$I$3:$I$50,"NT")),0)</f>
        <v>0</v>
      </c>
      <c r="AD19" s="10">
        <f>COUNTIFS('Input - Architecture'!$G$3:$G$50,"New Director/Principal",'Input - Architecture'!$H$3:$H$50,"F",'Input - Architecture'!$I$3:$I$50,"ACT")</f>
        <v>0</v>
      </c>
      <c r="AE19" s="12">
        <f>IFERROR((AVERAGEIFS('Input - Architecture'!$F$3:$F$50,'Input - Architecture'!$G$3:$G$50,"New Director/Principal",'Input - Architecture'!$H$3:$H$50,"F",'Input - Architecture'!$I$3:$I$50,"ACT")),0)</f>
        <v>0</v>
      </c>
      <c r="AF19" s="12">
        <f>IFERROR((_xlfn.MINIFS('Input - Architecture'!$F$3:$F$50,'Input - Architecture'!$G$3:$G$50,"New Director/Principal",'Input - Architecture'!$H$3:$H$50,"F",'Input - Architecture'!$I$3:$I$50,"ACT")),0)</f>
        <v>0</v>
      </c>
      <c r="AG19" s="15">
        <f>IFERROR((_xlfn.MAXIFS('Input - Architecture'!$F$3:$F$50,'Input - Architecture'!$G$3:$G$50,"New Director/Principal",'Input - Architecture'!$H$3:$H$50,"F",'Input - Architecture'!$I$3:$I$50,"ACT")),0)</f>
        <v>0</v>
      </c>
    </row>
    <row r="20" spans="1:33" x14ac:dyDescent="0.35">
      <c r="A20" s="11" t="s">
        <v>78</v>
      </c>
      <c r="B20" s="19">
        <f>COUNTIFS('Input - Architecture'!$G$3:$G$50,"Experienced Director/Principal",'Input - Architecture'!$H$3:$H$50,"M",'Input - Architecture'!$I$3:$I$50,"QLD")</f>
        <v>1</v>
      </c>
      <c r="C20" s="20">
        <f>IFERROR((AVERAGEIFS('Input - Architecture'!$F$3:$F$50,'Input - Architecture'!$G$3:$G$50,"Experienced Director/Principal",'Input - Architecture'!$H$3:$H$50,"M",'Input - Architecture'!$I$3:$I$50,"QLD")),0)</f>
        <v>1957.76</v>
      </c>
      <c r="D20" s="20">
        <f>IFERROR((_xlfn.MINIFS('Input - Architecture'!$F$3:$F$50,'Input - Architecture'!$G$3:$G$50,"Experienced Director/Principal",'Input - Architecture'!$H$3:$H$50,"M",'Input - Architecture'!$I$3:$I$50,"QLD")),0)</f>
        <v>1957.76</v>
      </c>
      <c r="E20" s="21">
        <f>IFERROR((_xlfn.MAXIFS('Input - Architecture'!$F$3:$F$50,'Input - Architecture'!$G$3:$G$50,"Experienced Director/Principal",'Input - Architecture'!$H$3:$H$50,"M",'Input - Architecture'!$I$3:$I$50,"QLD")),0)</f>
        <v>1957.76</v>
      </c>
      <c r="F20" s="10">
        <f>COUNTIFS('Input - Architecture'!$G$3:$G$50,"Experienced Director/Principal",'Input - Architecture'!$H$3:$H$50,"M",'Input - Architecture'!$I$3:$I$50,"NSW")</f>
        <v>0</v>
      </c>
      <c r="G20" s="12">
        <f>IFERROR((AVERAGEIFS('Input - Architecture'!$F$3:$F$50,'Input - Architecture'!$G$3:$G$50,"Experienced Director/Principal",'Input - Architecture'!$H$3:$H$50,"M",'Input - Architecture'!$I$3:$I$50,"NSW")),0)</f>
        <v>0</v>
      </c>
      <c r="H20" s="12">
        <f>IFERROR((_xlfn.MINIFS('Input - Architecture'!$F$3:$F$50,'Input - Architecture'!$G$3:$G$50,"Experienced Director/Principal",'Input - Architecture'!$H$3:$H$50,"M",'Input - Architecture'!$I$3:$I$50,"NSW")),0)</f>
        <v>0</v>
      </c>
      <c r="I20" s="15">
        <f>IFERROR((_xlfn.MAXIFS('Input - Architecture'!$F$3:$F$50,'Input - Architecture'!$G$3:$G$50,"Experienced Director/Principal",'Input - Architecture'!$H$3:$H$50,"M",'Input - Architecture'!$I$3:$I$50,"NSW")),0)</f>
        <v>0</v>
      </c>
      <c r="J20" s="19">
        <f>COUNTIFS('Input - Architecture'!$G$3:$G$50,"Experienced Director/Principal",'Input - Architecture'!$H$3:$H$50,"M",'Input - Architecture'!$I$3:$I$50,"VIC")</f>
        <v>0</v>
      </c>
      <c r="K20" s="20">
        <f>IFERROR((AVERAGEIFS('Input - Architecture'!$F$3:$F$50,'Input - Architecture'!$G$3:$G$50,"Experienced Director/Principal",'Input - Architecture'!$H$3:$H$50,"M",'Input - Architecture'!$I$3:$I$50,"VIC")),0)</f>
        <v>0</v>
      </c>
      <c r="L20" s="20">
        <f>IFERROR((_xlfn.MINIFS('Input - Architecture'!$F$3:$F$50,'Input - Architecture'!$G$3:$G$50,"Experienced Director/Principal",'Input - Architecture'!$H$3:$H$50,"M",'Input - Architecture'!$I$3:$I$50,"VIC")),0)</f>
        <v>0</v>
      </c>
      <c r="M20" s="21">
        <f>IFERROR((_xlfn.MAXIFS('Input - Architecture'!$F$3:$F$50,'Input - Architecture'!$G$3:$G$50,"Experienced Director/Principal",'Input - Architecture'!$H$3:$H$50,"M",'Input - Architecture'!$I$3:$I$50,"VIC")),0)</f>
        <v>0</v>
      </c>
      <c r="N20" s="10">
        <f>COUNTIFS('Input - Architecture'!$G$3:$G$50,"Experienced Director/Principal",'Input - Architecture'!$H$3:$H$50,"M",'Input - Architecture'!$I$3:$I$50,"SA")</f>
        <v>0</v>
      </c>
      <c r="O20" s="12">
        <f>IFERROR((AVERAGEIFS('Input - Architecture'!$F$3:$F$50,'Input - Architecture'!$G$3:$G$50,"Experienced Director/Principal",'Input - Architecture'!$H$3:$H$50,"M",'Input - Architecture'!$I$3:$I$50,"SA")),0)</f>
        <v>0</v>
      </c>
      <c r="P20" s="12">
        <f>IFERROR((_xlfn.MINIFS('Input - Architecture'!$F$3:$F$50,'Input - Architecture'!$G$3:$G$50,"Experienced Director/Principal",'Input - Architecture'!$H$3:$H$50,"M",'Input - Architecture'!$I$3:$I$50,"SA")),0)</f>
        <v>0</v>
      </c>
      <c r="Q20" s="15">
        <f>IFERROR((_xlfn.MAXIFS('Input - Architecture'!$F$3:$F$50,'Input - Architecture'!$G$3:$G$50,"Experienced Director/Principal",'Input - Architecture'!$H$3:$H$50,"M",'Input - Architecture'!$I$3:$I$50,"SA")),0)</f>
        <v>0</v>
      </c>
      <c r="R20" s="19">
        <f>COUNTIFS('Input - Architecture'!$G$3:$G$50,"Experienced Director/Principal",'Input - Architecture'!$H$3:$H$50,"M",'Input - Architecture'!$I$3:$I$50,"WA")</f>
        <v>0</v>
      </c>
      <c r="S20" s="20">
        <f>IFERROR((AVERAGEIFS('Input - Architecture'!$F$3:$F$50,'Input - Architecture'!$G$3:$G$50,"Experienced Director/Principal",'Input - Architecture'!$H$3:$H$50,"M",'Input - Architecture'!$I$3:$I$50,"WA")),0)</f>
        <v>0</v>
      </c>
      <c r="T20" s="20">
        <f>IFERROR((_xlfn.MINIFS('Input - Architecture'!$F$3:$F$50,'Input - Architecture'!$G$3:$G$50,"Experienced Director/Principal",'Input - Architecture'!$H$3:$H$50,"M",'Input - Architecture'!$I$3:$I$50,"WA")),0)</f>
        <v>0</v>
      </c>
      <c r="U20" s="21">
        <f>IFERROR((_xlfn.MAXIFS('Input - Architecture'!$F$3:$F$50,'Input - Architecture'!$G$3:$G$50,"Experienced Director/Principal",'Input - Architecture'!$H$3:$H$50,"M",'Input - Architecture'!$I$3:$I$50,"WA")),0)</f>
        <v>0</v>
      </c>
      <c r="V20" s="10">
        <f>COUNTIFS('Input - Architecture'!$G$3:$G$50,"Experienced Director/Principal",'Input - Architecture'!$H$3:$H$50,"M",'Input - Architecture'!$I$3:$I$50,"TAS")</f>
        <v>0</v>
      </c>
      <c r="W20" s="12">
        <f>IFERROR((AVERAGEIFS('Input - Architecture'!$F$3:$F$50,'Input - Architecture'!$G$3:$G$50,"Experienced Director/Principal",'Input - Architecture'!$H$3:$H$50,"M",'Input - Architecture'!$I$3:$I$50,"TAS")),0)</f>
        <v>0</v>
      </c>
      <c r="X20" s="12">
        <f>IFERROR((_xlfn.MINIFS('Input - Architecture'!$F$3:$F$50,'Input - Architecture'!$G$3:$G$50,"Experienced Director/Principal",'Input - Architecture'!$H$3:$H$50,"M",'Input - Architecture'!$I$3:$I$50,"TAS")),0)</f>
        <v>0</v>
      </c>
      <c r="Y20" s="15">
        <f>IFERROR((_xlfn.MAXIFS('Input - Architecture'!$F$3:$F$50,'Input - Architecture'!$G$3:$G$50,"Experienced Director/Principal",'Input - Architecture'!$H$3:$H$50,"M",'Input - Architecture'!$I$3:$I$50,"TAS")),0)</f>
        <v>0</v>
      </c>
      <c r="Z20" s="19">
        <f>COUNTIFS('Input - Architecture'!$G$3:$G$50,"Experienced Director/Principal",'Input - Architecture'!$H$3:$H$50,"M",'Input - Architecture'!$I$3:$I$50,"NT")</f>
        <v>0</v>
      </c>
      <c r="AA20" s="20">
        <f>IFERROR((AVERAGEIFS('Input - Architecture'!$F$3:$F$50,'Input - Architecture'!$G$3:$G$50,"Experienced Director/Principal",'Input - Architecture'!$H$3:$H$50,"M",'Input - Architecture'!$I$3:$I$50,"NT")),0)</f>
        <v>0</v>
      </c>
      <c r="AB20" s="20">
        <f>IFERROR((_xlfn.MINIFS('Input - Architecture'!$F$3:$F$50,'Input - Architecture'!$G$3:$G$50,"Experienced Director/Principal",'Input - Architecture'!$H$3:$H$50,"M",'Input - Architecture'!$I$3:$I$50,"NT")),0)</f>
        <v>0</v>
      </c>
      <c r="AC20" s="21">
        <f>IFERROR((_xlfn.MAXIFS('Input - Architecture'!$F$3:$F$50,'Input - Architecture'!$G$3:$G$50,"Experienced Director/Principal",'Input - Architecture'!$H$3:$H$50,"M",'Input - Architecture'!$I$3:$I$50,"NT")),0)</f>
        <v>0</v>
      </c>
      <c r="AD20" s="10">
        <f>COUNTIFS('Input - Architecture'!$G$3:$G$50,"Experienced Director/Principal",'Input - Architecture'!$H$3:$H$50,"M",'Input - Architecture'!$I$3:$I$50,"ACT")</f>
        <v>0</v>
      </c>
      <c r="AE20" s="12">
        <f>IFERROR((AVERAGEIFS('Input - Architecture'!$F$3:$F$50,'Input - Architecture'!$G$3:$G$50,"Experienced Director/Principal",'Input - Architecture'!$H$3:$H$50,"M",'Input - Architecture'!$I$3:$I$50,"ACT")),0)</f>
        <v>0</v>
      </c>
      <c r="AF20" s="12">
        <f>IFERROR((_xlfn.MINIFS('Input - Architecture'!$F$3:$F$50,'Input - Architecture'!$G$3:$G$50,"Experienced Director/Principal",'Input - Architecture'!$H$3:$H$50,"M",'Input - Architecture'!$I$3:$I$50,"ACT")),0)</f>
        <v>0</v>
      </c>
      <c r="AG20" s="15">
        <f>IFERROR((_xlfn.MAXIFS('Input - Architecture'!$F$3:$F$50,'Input - Architecture'!$G$3:$G$50,"Experienced Director/Principal",'Input - Architecture'!$H$3:$H$50,"M",'Input - Architecture'!$I$3:$I$50,"ACT")),0)</f>
        <v>0</v>
      </c>
    </row>
    <row r="21" spans="1:33" ht="15" thickBot="1" x14ac:dyDescent="0.4">
      <c r="A21" s="14" t="s">
        <v>79</v>
      </c>
      <c r="B21" s="22">
        <f>COUNTIFS('Input - Architecture'!$G$3:$G$50,"Experienced Director/Principal",'Input - Architecture'!$H$3:$H$50,"F",'Input - Architecture'!$I$3:$I$50,"QLD")</f>
        <v>0</v>
      </c>
      <c r="C21" s="23">
        <f>IFERROR((AVERAGEIFS('Input - Architecture'!$F$3:$F$50,'Input - Architecture'!$G$3:$G$50,"Experienced Director/Principal",'Input - Architecture'!$H$3:$H$50,"F",'Input - Architecture'!$I$3:$I$50,"QLD")),0)</f>
        <v>0</v>
      </c>
      <c r="D21" s="23">
        <f>IFERROR((_xlfn.MINIFS('Input - Architecture'!$F$3:$F$50,'Input - Architecture'!$G$3:$G$50,"Experienced Director/Principal",'Input - Architecture'!$H$3:$H$50,"F",'Input - Architecture'!$I$3:$I$50,"QLD")),0)</f>
        <v>0</v>
      </c>
      <c r="E21" s="24">
        <f>IFERROR((_xlfn.MAXIFS('Input - Architecture'!$F$3:$F$50,'Input - Architecture'!$G$3:$G$50,"Experienced Director/Principal",'Input - Architecture'!$H$3:$H$50,"F",'Input - Architecture'!$I$3:$I$50,"QLD")),0)</f>
        <v>0</v>
      </c>
      <c r="F21" s="16">
        <f>COUNTIFS('Input - Architecture'!$G$3:$G$50,"Experienced Director/Principal",'Input - Architecture'!$H$3:$H$50,"F",'Input - Architecture'!$I$3:$I$50,"NSW")</f>
        <v>0</v>
      </c>
      <c r="G21" s="17">
        <f>IFERROR((AVERAGEIFS('Input - Architecture'!$F$3:$F$50,'Input - Architecture'!$G$3:$G$50,"Experienced Director/Principal",'Input - Architecture'!$H$3:$H$50,"F",'Input - Architecture'!$I$3:$I$50,"NSW")),0)</f>
        <v>0</v>
      </c>
      <c r="H21" s="17">
        <f>IFERROR((_xlfn.MINIFS('Input - Architecture'!$F$3:$F$50,'Input - Architecture'!$G$3:$G$50,"Experienced Director/Principal",'Input - Architecture'!$H$3:$H$50,"F",'Input - Architecture'!$I$3:$I$50,"NSW")),0)</f>
        <v>0</v>
      </c>
      <c r="I21" s="18">
        <f>IFERROR((_xlfn.MAXIFS('Input - Architecture'!$F$3:$F$50,'Input - Architecture'!$G$3:$G$50,"Experienced Director/Principal",'Input - Architecture'!$H$3:$H$50,"F",'Input - Architecture'!$I$3:$I$50,"NSW")),0)</f>
        <v>0</v>
      </c>
      <c r="J21" s="22">
        <f>COUNTIFS('Input - Architecture'!$G$3:$G$50,"Experienced Director/Principal",'Input - Architecture'!$H$3:$H$50,"F",'Input - Architecture'!$I$3:$I$50,"VIC")</f>
        <v>0</v>
      </c>
      <c r="K21" s="23">
        <f>IFERROR((AVERAGEIFS('Input - Architecture'!$F$3:$F$50,'Input - Architecture'!$G$3:$G$50,"Experienced Director/Principal",'Input - Architecture'!$H$3:$H$50,"F",'Input - Architecture'!$I$3:$I$50,"VIC")),0)</f>
        <v>0</v>
      </c>
      <c r="L21" s="23">
        <f>IFERROR((_xlfn.MINIFS('Input - Architecture'!$F$3:$F$50,'Input - Architecture'!$G$3:$G$50,"Experienced Director/Principal",'Input - Architecture'!$H$3:$H$50,"F",'Input - Architecture'!$I$3:$I$50,"VIC")),0)</f>
        <v>0</v>
      </c>
      <c r="M21" s="24">
        <f>IFERROR((_xlfn.MAXIFS('Input - Architecture'!$F$3:$F$50,'Input - Architecture'!$G$3:$G$50,"Experienced Director/Principal",'Input - Architecture'!$H$3:$H$50,"F",'Input - Architecture'!$I$3:$I$50,"VIC")),0)</f>
        <v>0</v>
      </c>
      <c r="N21" s="16">
        <f>COUNTIFS('Input - Architecture'!$G$3:$G$50,"Experienced Director/Principal",'Input - Architecture'!$H$3:$H$50,"F",'Input - Architecture'!$I$3:$I$50,"SA")</f>
        <v>0</v>
      </c>
      <c r="O21" s="17">
        <f>IFERROR((AVERAGEIFS('Input - Architecture'!$F$3:$F$50,'Input - Architecture'!$G$3:$G$50,"Experienced Director/Principal",'Input - Architecture'!$H$3:$H$50,"F",'Input - Architecture'!$I$3:$I$50,"SA")),0)</f>
        <v>0</v>
      </c>
      <c r="P21" s="17">
        <f>IFERROR((_xlfn.MINIFS('Input - Architecture'!$F$3:$F$50,'Input - Architecture'!$G$3:$G$50,"Experienced Director/Principal",'Input - Architecture'!$H$3:$H$50,"F",'Input - Architecture'!$I$3:$I$50,"SA")),0)</f>
        <v>0</v>
      </c>
      <c r="Q21" s="18">
        <f>IFERROR((_xlfn.MAXIFS('Input - Architecture'!$F$3:$F$50,'Input - Architecture'!$G$3:$G$50,"Experienced Director/Principal",'Input - Architecture'!$H$3:$H$50,"F",'Input - Architecture'!$I$3:$I$50,"SA")),0)</f>
        <v>0</v>
      </c>
      <c r="R21" s="22">
        <f>COUNTIFS('Input - Architecture'!$G$3:$G$50,"Experienced Director/Principal",'Input - Architecture'!$H$3:$H$50,"F",'Input - Architecture'!$I$3:$I$50,"WA")</f>
        <v>0</v>
      </c>
      <c r="S21" s="23">
        <f>IFERROR((AVERAGEIFS('Input - Architecture'!$F$3:$F$50,'Input - Architecture'!$G$3:$G$50,"Experienced Director/Principal",'Input - Architecture'!$H$3:$H$50,"F",'Input - Architecture'!$I$3:$I$50,"WA")),0)</f>
        <v>0</v>
      </c>
      <c r="T21" s="23">
        <f>IFERROR((_xlfn.MINIFS('Input - Architecture'!$F$3:$F$50,'Input - Architecture'!$G$3:$G$50,"Experienced Director/Principal",'Input - Architecture'!$H$3:$H$50,"F",'Input - Architecture'!$I$3:$I$50,"WA")),0)</f>
        <v>0</v>
      </c>
      <c r="U21" s="24">
        <f>IFERROR((_xlfn.MAXIFS('Input - Architecture'!$F$3:$F$50,'Input - Architecture'!$G$3:$G$50,"Experienced Director/Principal",'Input - Architecture'!$H$3:$H$50,"F",'Input - Architecture'!$I$3:$I$50,"WA")),0)</f>
        <v>0</v>
      </c>
      <c r="V21" s="16">
        <f>COUNTIFS('Input - Architecture'!$G$3:$G$50,"Experienced Director/Principal",'Input - Architecture'!$H$3:$H$50,"F",'Input - Architecture'!$I$3:$I$50,"TAS")</f>
        <v>0</v>
      </c>
      <c r="W21" s="17">
        <f>IFERROR((AVERAGEIFS('Input - Architecture'!$F$3:$F$50,'Input - Architecture'!$G$3:$G$50,"Experienced Director/Principal",'Input - Architecture'!$H$3:$H$50,"F",'Input - Architecture'!$I$3:$I$50,"TAS")),0)</f>
        <v>0</v>
      </c>
      <c r="X21" s="17">
        <f>IFERROR((_xlfn.MINIFS('Input - Architecture'!$F$3:$F$50,'Input - Architecture'!$G$3:$G$50,"Experienced Director/Principal",'Input - Architecture'!$H$3:$H$50,"F",'Input - Architecture'!$I$3:$I$50,"TAS")),0)</f>
        <v>0</v>
      </c>
      <c r="Y21" s="18">
        <f>IFERROR((_xlfn.MAXIFS('Input - Architecture'!$F$3:$F$50,'Input - Architecture'!$G$3:$G$50,"Experienced Director/Principal",'Input - Architecture'!$H$3:$H$50,"F",'Input - Architecture'!$I$3:$I$50,"TAS")),0)</f>
        <v>0</v>
      </c>
      <c r="Z21" s="22">
        <f>COUNTIFS('Input - Architecture'!$G$3:$G$50,"Experienced Director/Principal",'Input - Architecture'!$H$3:$H$50,"F",'Input - Architecture'!$I$3:$I$50,"NT")</f>
        <v>0</v>
      </c>
      <c r="AA21" s="23">
        <f>IFERROR((AVERAGEIFS('Input - Architecture'!$F$3:$F$50,'Input - Architecture'!$G$3:$G$50,"Experienced Director/Principal",'Input - Architecture'!$H$3:$H$50,"F",'Input - Architecture'!$I$3:$I$50,"NT")),0)</f>
        <v>0</v>
      </c>
      <c r="AB21" s="23">
        <f>IFERROR((_xlfn.MINIFS('Input - Architecture'!$F$3:$F$50,'Input - Architecture'!$G$3:$G$50,"Experienced Director/Principal",'Input - Architecture'!$H$3:$H$50,"F",'Input - Architecture'!$I$3:$I$50,"NT")),0)</f>
        <v>0</v>
      </c>
      <c r="AC21" s="24">
        <f>IFERROR((_xlfn.MAXIFS('Input - Architecture'!$F$3:$F$50,'Input - Architecture'!$G$3:$G$50,"Experienced Director/Principal",'Input - Architecture'!$H$3:$H$50,"F",'Input - Architecture'!$I$3:$I$50,"NT")),0)</f>
        <v>0</v>
      </c>
      <c r="AD21" s="16">
        <f>COUNTIFS('Input - Architecture'!$G$3:$G$50,"Experienced Director/Principal",'Input - Architecture'!$H$3:$H$50,"F",'Input - Architecture'!$I$3:$I$50,"ACT")</f>
        <v>0</v>
      </c>
      <c r="AE21" s="17">
        <f>IFERROR((AVERAGEIFS('Input - Architecture'!$F$3:$F$50,'Input - Architecture'!$G$3:$G$50,"Experienced Director/Principal",'Input - Architecture'!$H$3:$H$50,"F",'Input - Architecture'!$I$3:$I$50,"ACT")),0)</f>
        <v>0</v>
      </c>
      <c r="AF21" s="17">
        <f>IFERROR((_xlfn.MINIFS('Input - Architecture'!$F$3:$F$50,'Input - Architecture'!$G$3:$G$50,"Experienced Director/Principal",'Input - Architecture'!$H$3:$H$50,"F",'Input - Architecture'!$I$3:$I$50,"ACT")),0)</f>
        <v>0</v>
      </c>
      <c r="AG21" s="18">
        <f>IFERROR((_xlfn.MAXIFS('Input - Architecture'!$F$3:$F$50,'Input - Architecture'!$G$3:$G$50,"Experienced Director/Principal",'Input - Architecture'!$H$3:$H$50,"F",'Input - Architecture'!$I$3:$I$50,"ACT")),0)</f>
        <v>0</v>
      </c>
    </row>
    <row r="22" spans="1:33" x14ac:dyDescent="0.35">
      <c r="N22" s="1"/>
    </row>
    <row r="23" spans="1:33" ht="15" thickBot="1" x14ac:dyDescent="0.4"/>
    <row r="24" spans="1:33" ht="29" thickBot="1" x14ac:dyDescent="0.7">
      <c r="A24" s="62" t="s">
        <v>80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4"/>
    </row>
    <row r="25" spans="1:33" ht="18.5" x14ac:dyDescent="0.45">
      <c r="A25" s="56"/>
      <c r="B25" s="65" t="s">
        <v>51</v>
      </c>
      <c r="C25" s="66"/>
      <c r="D25" s="66"/>
      <c r="E25" s="67"/>
      <c r="F25" s="65" t="s">
        <v>52</v>
      </c>
      <c r="G25" s="66"/>
      <c r="H25" s="66"/>
      <c r="I25" s="67"/>
      <c r="J25" s="65" t="s">
        <v>53</v>
      </c>
      <c r="K25" s="66"/>
      <c r="L25" s="66"/>
      <c r="M25" s="67"/>
      <c r="N25" s="65" t="s">
        <v>54</v>
      </c>
      <c r="O25" s="66"/>
      <c r="P25" s="66"/>
      <c r="Q25" s="67"/>
      <c r="R25" s="65" t="s">
        <v>55</v>
      </c>
      <c r="S25" s="66"/>
      <c r="T25" s="66"/>
      <c r="U25" s="67"/>
      <c r="V25" s="65" t="s">
        <v>56</v>
      </c>
      <c r="W25" s="66"/>
      <c r="X25" s="66"/>
      <c r="Y25" s="67"/>
      <c r="Z25" s="65" t="s">
        <v>57</v>
      </c>
      <c r="AA25" s="66"/>
      <c r="AB25" s="66"/>
      <c r="AC25" s="67"/>
      <c r="AD25" s="65" t="s">
        <v>42</v>
      </c>
      <c r="AE25" s="66"/>
      <c r="AF25" s="66"/>
      <c r="AG25" s="67"/>
    </row>
    <row r="26" spans="1:33" x14ac:dyDescent="0.35">
      <c r="A26" s="25" t="s">
        <v>32</v>
      </c>
      <c r="B26" s="7" t="s">
        <v>58</v>
      </c>
      <c r="C26" s="8" t="s">
        <v>59</v>
      </c>
      <c r="D26" s="8" t="s">
        <v>60</v>
      </c>
      <c r="E26" s="9" t="s">
        <v>61</v>
      </c>
      <c r="F26" s="7" t="s">
        <v>58</v>
      </c>
      <c r="G26" s="8" t="s">
        <v>59</v>
      </c>
      <c r="H26" s="8" t="s">
        <v>60</v>
      </c>
      <c r="I26" s="9" t="s">
        <v>61</v>
      </c>
      <c r="J26" s="7" t="s">
        <v>58</v>
      </c>
      <c r="K26" s="8" t="s">
        <v>59</v>
      </c>
      <c r="L26" s="8" t="s">
        <v>60</v>
      </c>
      <c r="M26" s="9" t="s">
        <v>61</v>
      </c>
      <c r="N26" s="7" t="s">
        <v>58</v>
      </c>
      <c r="O26" s="8" t="s">
        <v>59</v>
      </c>
      <c r="P26" s="8" t="s">
        <v>60</v>
      </c>
      <c r="Q26" s="9" t="s">
        <v>61</v>
      </c>
      <c r="R26" s="7" t="s">
        <v>58</v>
      </c>
      <c r="S26" s="8" t="s">
        <v>59</v>
      </c>
      <c r="T26" s="8" t="s">
        <v>60</v>
      </c>
      <c r="U26" s="9" t="s">
        <v>61</v>
      </c>
      <c r="V26" s="7" t="s">
        <v>58</v>
      </c>
      <c r="W26" s="8" t="s">
        <v>59</v>
      </c>
      <c r="X26" s="8" t="s">
        <v>60</v>
      </c>
      <c r="Y26" s="9" t="s">
        <v>61</v>
      </c>
      <c r="Z26" s="7" t="s">
        <v>58</v>
      </c>
      <c r="AA26" s="8" t="s">
        <v>59</v>
      </c>
      <c r="AB26" s="8" t="s">
        <v>60</v>
      </c>
      <c r="AC26" s="9" t="s">
        <v>61</v>
      </c>
      <c r="AD26" s="7" t="s">
        <v>58</v>
      </c>
      <c r="AE26" s="8" t="s">
        <v>59</v>
      </c>
      <c r="AF26" s="8" t="s">
        <v>60</v>
      </c>
      <c r="AG26" s="9" t="s">
        <v>61</v>
      </c>
    </row>
    <row r="27" spans="1:33" x14ac:dyDescent="0.35">
      <c r="A27" s="11" t="s">
        <v>81</v>
      </c>
      <c r="B27" s="19">
        <f>COUNTIFS('Input - Technical'!$G$3:$G$50,"less that 1 year",'Input - Technical'!$H$3:$H$50,"M",'Input - Technical'!$I$3:$I$50,"QLD")</f>
        <v>0</v>
      </c>
      <c r="C27" s="20">
        <f>IFERROR(AVERAGEIFS('Input - Technical'!$F$3:$F$50,'Input - Technical'!$G$3:$G$50,"less than 1 year",'Input - Technical'!$H$3:$H$50,"M",'Input - Technical'!$I$3:$I$50,"QLD"),0)</f>
        <v>0</v>
      </c>
      <c r="D27" s="20">
        <f>IFERROR(_xlfn.MINIFS('Input - Technical'!$F$3:$F$50,'Input - Technical'!$G$3:$G$50,"less than 1 year",'Input - Technical'!$H$3:$H$50,"M",'Input - Technical'!$I$3:$I$50,"QLD"),0)</f>
        <v>0</v>
      </c>
      <c r="E27" s="21">
        <f>IFERROR(_xlfn.MAXIFS('Input - Technical'!$F$3:$F$50,'Input - Technical'!$G$3:$G$50,"less than 1 year",'Input - Technical'!$H$3:$H$50,"M",'Input - Technical'!$I$3:$I$50,"QLD"),0)</f>
        <v>0</v>
      </c>
      <c r="F27" s="10">
        <f>COUNTIFS('Input - Technical'!$G$3:$G$50,"less that 1 year",'Input - Technical'!$H$3:$H$50,"M",'Input - Technical'!$I$3:$I$50,"NSW")</f>
        <v>0</v>
      </c>
      <c r="G27" s="12">
        <f>IFERROR(AVERAGEIFS('Input - Technical'!$F$3:$F$50,'Input - Technical'!$G$3:$G$50,"less than 1 year",'Input - Technical'!$H$3:$H$50,"M",'Input - Technical'!$I$3:$I$50,"NSW"),0)</f>
        <v>0</v>
      </c>
      <c r="H27" s="12">
        <f>IFERROR(_xlfn.MINIFS('Input - Technical'!$F$3:$F$50,'Input - Technical'!$G$3:$G$50,"less than 1 year",'Input - Technical'!$H$3:$H$50,"M",'Input - Technical'!$I$3:$I$50,"NSW"),0)</f>
        <v>0</v>
      </c>
      <c r="I27" s="15">
        <f>IFERROR(_xlfn.MAXIFS('Input - Technical'!$F$3:$F$50,'Input - Technical'!$G$3:$G$50,"less than 1 year",'Input - Technical'!$H$3:$H$50,"M",'Input - Technical'!$I$3:$I$50,"NSW"),0)</f>
        <v>0</v>
      </c>
      <c r="J27" s="19">
        <f>COUNTIFS('Input - Technical'!$G$3:$G$50,"less that 1 year",'Input - Technical'!$H$3:$H$50,"M",'Input - Technical'!$I$3:$I$50,"VIC")</f>
        <v>0</v>
      </c>
      <c r="K27" s="20">
        <f>IFERROR(AVERAGEIFS('Input - Technical'!$F$3:$F$50,'Input - Technical'!$G$3:$G$50,"less than 1 year",'Input - Technical'!$H$3:$H$50,"M",'Input - Technical'!$I$3:$I$50,"VIC"),0)</f>
        <v>0</v>
      </c>
      <c r="L27" s="20">
        <f>IFERROR(_xlfn.MINIFS('Input - Technical'!$F$3:$F$50,'Input - Technical'!$G$3:$G$50,"less than 1 year",'Input - Technical'!$H$3:$H$50,"M",'Input - Technical'!$I$3:$I$50,"VIC"),0)</f>
        <v>0</v>
      </c>
      <c r="M27" s="21">
        <f>IFERROR(_xlfn.MAXIFS('Input - Technical'!$F$3:$F$50,'Input - Technical'!$G$3:$G$50,"less than 1 year",'Input - Technical'!$H$3:$H$50,"M",'Input - Technical'!$I$3:$I$50,"VIC"),0)</f>
        <v>0</v>
      </c>
      <c r="N27" s="10">
        <f>COUNTIFS('Input - Technical'!$G$3:$G$50,"less that 1 year",'Input - Technical'!$H$3:$H$50,"M",'Input - Technical'!$I$3:$I$50,"SA")</f>
        <v>0</v>
      </c>
      <c r="O27" s="12">
        <f>IFERROR(AVERAGEIFS('Input - Technical'!$F$3:$F$50,'Input - Technical'!$G$3:$G$50,"less than 1 year",'Input - Technical'!$H$3:$H$50,"M",'Input - Technical'!$I$3:$I$50,"SA"),0)</f>
        <v>0</v>
      </c>
      <c r="P27" s="12">
        <f>IFERROR(_xlfn.MINIFS('Input - Technical'!$F$3:$F$50,'Input - Technical'!$G$3:$G$50,"less than 1 year",'Input - Technical'!$H$3:$H$50,"M",'Input - Technical'!$I$3:$I$50,"SA"),0)</f>
        <v>0</v>
      </c>
      <c r="Q27" s="15">
        <f>IFERROR(_xlfn.MAXIFS('Input - Technical'!$F$3:$F$50,'Input - Technical'!$G$3:$G$50,"less than 1 year",'Input - Technical'!$H$3:$H$50,"M",'Input - Technical'!$I$3:$I$50,"SA"),0)</f>
        <v>0</v>
      </c>
      <c r="R27" s="19">
        <f>COUNTIFS('Input - Technical'!$G$3:$G$50,"less that 1 year",'Input - Technical'!$H$3:$H$50,"M",'Input - Technical'!$I$3:$I$50,"WA")</f>
        <v>0</v>
      </c>
      <c r="S27" s="20">
        <f>IFERROR(AVERAGEIFS('Input - Technical'!$F$3:$F$50,'Input - Technical'!$G$3:$G$50,"less than 1 year",'Input - Technical'!$H$3:$H$50,"M",'Input - Technical'!$I$3:$I$50,"WA"),0)</f>
        <v>0</v>
      </c>
      <c r="T27" s="20">
        <f>IFERROR(_xlfn.MINIFS('Input - Technical'!$F$3:$F$50,'Input - Technical'!$G$3:$G$50,"less than 1 year",'Input - Technical'!$H$3:$H$50,"M",'Input - Technical'!$I$3:$I$50,"WA"),0)</f>
        <v>0</v>
      </c>
      <c r="U27" s="21">
        <f>IFERROR(_xlfn.MAXIFS('Input - Technical'!$F$3:$F$50,'Input - Technical'!$G$3:$G$50,"less than 1 year",'Input - Technical'!$H$3:$H$50,"M",'Input - Technical'!$I$3:$I$50,"WA"),0)</f>
        <v>0</v>
      </c>
      <c r="V27" s="10">
        <f>COUNTIFS('Input - Technical'!$G$3:$G$50,"less that 1 year",'Input - Technical'!$H$3:$H$50,"M",'Input - Technical'!$I$3:$I$50,"TAS")</f>
        <v>0</v>
      </c>
      <c r="W27" s="12">
        <f>IFERROR(AVERAGEIFS('Input - Technical'!$F$3:$F$50,'Input - Technical'!$G$3:$G$50,"less than 1 year",'Input - Technical'!$H$3:$H$50,"M",'Input - Technical'!$I$3:$I$50,"TAS"),0)</f>
        <v>0</v>
      </c>
      <c r="X27" s="12">
        <f>IFERROR(_xlfn.MINIFS('Input - Technical'!$F$3:$F$50,'Input - Technical'!$G$3:$G$50,"less than 1 year",'Input - Technical'!$H$3:$H$50,"M",'Input - Technical'!$I$3:$I$50,"TAS"),0)</f>
        <v>0</v>
      </c>
      <c r="Y27" s="15">
        <f>IFERROR(_xlfn.MAXIFS('Input - Technical'!$F$3:$F$50,'Input - Technical'!$G$3:$G$50,"less than 1 year",'Input - Technical'!$H$3:$H$50,"M",'Input - Technical'!$I$3:$I$50,"TAS"),0)</f>
        <v>0</v>
      </c>
      <c r="Z27" s="19">
        <f>COUNTIFS('Input - Technical'!$G$3:$G$50,"less that 1 year",'Input - Technical'!$H$3:$H$50,"M",'Input - Technical'!$I$3:$I$50,"NT")</f>
        <v>0</v>
      </c>
      <c r="AA27" s="20">
        <f>IFERROR(AVERAGEIFS('Input - Technical'!$F$3:$F$50,'Input - Technical'!$G$3:$G$50,"less than 1 year",'Input - Technical'!$H$3:$H$50,"M",'Input - Technical'!$I$3:$I$50,"NT"),0)</f>
        <v>0</v>
      </c>
      <c r="AB27" s="20">
        <f>IFERROR(_xlfn.MINIFS('Input - Technical'!$F$3:$F$50,'Input - Technical'!$G$3:$G$50,"less than 1 year",'Input - Technical'!$H$3:$H$50,"M",'Input - Technical'!$I$3:$I$50,"NT"),0)</f>
        <v>0</v>
      </c>
      <c r="AC27" s="21">
        <f>IFERROR(_xlfn.MAXIFS('Input - Technical'!$F$3:$F$50,'Input - Technical'!$G$3:$G$50,"less than 1 year",'Input - Technical'!$H$3:$H$50,"M",'Input - Technical'!$I$3:$I$50,"NT"),0)</f>
        <v>0</v>
      </c>
      <c r="AD27" s="10">
        <f>COUNTIFS('Input - Technical'!$G$3:$G$50,"less that 1 year",'Input - Technical'!$H$3:$H$50,"M",'Input - Technical'!$I$3:$I$50,"ACT")</f>
        <v>0</v>
      </c>
      <c r="AE27" s="12">
        <f>IFERROR(AVERAGEIFS('Input - Technical'!$F$3:$F$50,'Input - Technical'!$G$3:$G$50,"less than 1 year",'Input - Technical'!$H$3:$H$50,"M",'Input - Technical'!$I$3:$I$50,"ACT"),0)</f>
        <v>0</v>
      </c>
      <c r="AF27" s="12">
        <f>IFERROR(_xlfn.MINIFS('Input - Technical'!$F$3:$F$50,'Input - Technical'!$G$3:$G$50,"less than 1 year",'Input - Technical'!$H$3:$H$50,"M",'Input - Technical'!$I$3:$I$50,"ACT"),0)</f>
        <v>0</v>
      </c>
      <c r="AG27" s="15">
        <f>IFERROR(_xlfn.MAXIFS('Input - Technical'!$F$3:$F$50,'Input - Technical'!$G$3:$G$50,"less than 1 year",'Input - Technical'!$H$3:$H$50,"M",'Input - Technical'!$I$3:$I$50,"ACT"),0)</f>
        <v>0</v>
      </c>
    </row>
    <row r="28" spans="1:33" x14ac:dyDescent="0.35">
      <c r="A28" s="11" t="s">
        <v>82</v>
      </c>
      <c r="B28" s="19">
        <f>COUNTIFS('Input - Technical'!$G$3:$G$50,"less that 1 year",'Input - Technical'!$H$3:$H$50,"F",'Input - Technical'!$I$3:$I$50,"QLD")</f>
        <v>0</v>
      </c>
      <c r="C28" s="20">
        <f>IFERROR(AVERAGEIFS('Input - Technical'!$F$3:$F$50,'Input - Technical'!$G$3:$G$50,"less than 1 year",'Input - Technical'!$H$3:$H$50,"F",'Input - Technical'!$I$3:$I$50,"QLD"),0)</f>
        <v>0</v>
      </c>
      <c r="D28" s="20">
        <f>IFERROR(_xlfn.MINIFS('Input - Technical'!$F$3:$F$50,'Input - Technical'!$G$3:$G$50,"less than 1 year",'Input - Technical'!$H$3:$H$50,"F",'Input - Technical'!$I$3:$I$50,"QLD"),0)</f>
        <v>0</v>
      </c>
      <c r="E28" s="21">
        <f>IFERROR(_xlfn.MAXIFS('Input - Technical'!$F$3:$F$50,'Input - Technical'!$G$3:$G$50,"less than 1 year",'Input - Technical'!$H$3:$H$50,"F",'Input - Technical'!$I$3:$I$50,"QLD"),0)</f>
        <v>0</v>
      </c>
      <c r="F28" s="10">
        <f>COUNTIFS('Input - Technical'!$G$3:$G$50,"less that 1 year",'Input - Technical'!$H$3:$H$50,"F",'Input - Technical'!$I$3:$I$50,"NSW")</f>
        <v>0</v>
      </c>
      <c r="G28" s="12">
        <f>IFERROR(AVERAGEIFS('Input - Technical'!$F$3:$F$50,'Input - Technical'!$G$3:$G$50,"less than 1 year",'Input - Technical'!$H$3:$H$50,"F",'Input - Technical'!$I$3:$I$50,"NSW"),0)</f>
        <v>0</v>
      </c>
      <c r="H28" s="12">
        <f>IFERROR(_xlfn.MINIFS('Input - Technical'!$F$3:$F$50,'Input - Technical'!$G$3:$G$50,"less than 1 year",'Input - Technical'!$H$3:$H$50,"F",'Input - Technical'!$I$3:$I$50,"NSW"),0)</f>
        <v>0</v>
      </c>
      <c r="I28" s="15">
        <f>IFERROR(_xlfn.MAXIFS('Input - Technical'!$F$3:$F$50,'Input - Technical'!$G$3:$G$50,"less than 1 year",'Input - Technical'!$H$3:$H$50,"F",'Input - Technical'!$I$3:$I$50,"NSW"),0)</f>
        <v>0</v>
      </c>
      <c r="J28" s="19">
        <f>COUNTIFS('Input - Technical'!$G$3:$G$50,"less that 1 year",'Input - Technical'!$H$3:$H$50,"F",'Input - Technical'!$I$3:$I$50,"VIC")</f>
        <v>0</v>
      </c>
      <c r="K28" s="20">
        <f>IFERROR(AVERAGEIFS('Input - Technical'!$F$3:$F$50,'Input - Technical'!$G$3:$G$50,"less than 1 year",'Input - Technical'!$H$3:$H$50,"F",'Input - Technical'!$I$3:$I$50,"VIC"),0)</f>
        <v>0</v>
      </c>
      <c r="L28" s="20">
        <f>IFERROR(_xlfn.MINIFS('Input - Technical'!$F$3:$F$50,'Input - Technical'!$G$3:$G$50,"less than 1 year",'Input - Technical'!$H$3:$H$50,"F",'Input - Technical'!$I$3:$I$50,"VIC"),0)</f>
        <v>0</v>
      </c>
      <c r="M28" s="21">
        <f>IFERROR(_xlfn.MAXIFS('Input - Technical'!$F$3:$F$50,'Input - Technical'!$G$3:$G$50,"less than 1 year",'Input - Technical'!$H$3:$H$50,"F",'Input - Technical'!$I$3:$I$50,"VIC"),0)</f>
        <v>0</v>
      </c>
      <c r="N28" s="10">
        <f>COUNTIFS('Input - Technical'!$G$3:$G$50,"less that 1 year",'Input - Technical'!$H$3:$H$50,"F",'Input - Technical'!$I$3:$I$50,"SA")</f>
        <v>0</v>
      </c>
      <c r="O28" s="12">
        <f>IFERROR(AVERAGEIFS('Input - Technical'!$F$3:$F$50,'Input - Technical'!$G$3:$G$50,"less than 1 year",'Input - Technical'!$H$3:$H$50,"F",'Input - Technical'!$I$3:$I$50,"SA"),0)</f>
        <v>0</v>
      </c>
      <c r="P28" s="12">
        <f>IFERROR(_xlfn.MINIFS('Input - Technical'!$F$3:$F$50,'Input - Technical'!$G$3:$G$50,"less than 1 year",'Input - Technical'!$H$3:$H$50,"F",'Input - Technical'!$I$3:$I$50,"SA"),0)</f>
        <v>0</v>
      </c>
      <c r="Q28" s="15">
        <f>IFERROR(_xlfn.MAXIFS('Input - Technical'!$F$3:$F$50,'Input - Technical'!$G$3:$G$50,"less than 1 year",'Input - Technical'!$H$3:$H$50,"F",'Input - Technical'!$I$3:$I$50,"SA"),0)</f>
        <v>0</v>
      </c>
      <c r="R28" s="19">
        <f>COUNTIFS('Input - Technical'!$G$3:$G$50,"less that 1 year",'Input - Technical'!$H$3:$H$50,"F",'Input - Technical'!$I$3:$I$50,"WA")</f>
        <v>0</v>
      </c>
      <c r="S28" s="20">
        <f>IFERROR(AVERAGEIFS('Input - Technical'!$F$3:$F$50,'Input - Technical'!$G$3:$G$50,"less than 1 year",'Input - Technical'!$H$3:$H$50,"F",'Input - Technical'!$I$3:$I$50,"WA"),0)</f>
        <v>0</v>
      </c>
      <c r="T28" s="20">
        <f>IFERROR(_xlfn.MINIFS('Input - Technical'!$F$3:$F$50,'Input - Technical'!$G$3:$G$50,"less than 1 year",'Input - Technical'!$H$3:$H$50,"F",'Input - Technical'!$I$3:$I$50,"WA"),0)</f>
        <v>0</v>
      </c>
      <c r="U28" s="21">
        <f>IFERROR(_xlfn.MAXIFS('Input - Technical'!$F$3:$F$50,'Input - Technical'!$G$3:$G$50,"less than 1 year",'Input - Technical'!$H$3:$H$50,"F",'Input - Technical'!$I$3:$I$50,"WA"),0)</f>
        <v>0</v>
      </c>
      <c r="V28" s="10">
        <f>COUNTIFS('Input - Technical'!$G$3:$G$50,"less that 1 year",'Input - Technical'!$H$3:$H$50,"F",'Input - Technical'!$I$3:$I$50,"TAS")</f>
        <v>0</v>
      </c>
      <c r="W28" s="12">
        <f>IFERROR(AVERAGEIFS('Input - Technical'!$F$3:$F$50,'Input - Technical'!$G$3:$G$50,"less than 1 year",'Input - Technical'!$H$3:$H$50,"F",'Input - Technical'!$I$3:$I$50,"TAS"),0)</f>
        <v>0</v>
      </c>
      <c r="X28" s="12">
        <f>IFERROR(_xlfn.MINIFS('Input - Technical'!$F$3:$F$50,'Input - Technical'!$G$3:$G$50,"less than 1 year",'Input - Technical'!$H$3:$H$50,"F",'Input - Technical'!$I$3:$I$50,"TAS"),0)</f>
        <v>0</v>
      </c>
      <c r="Y28" s="15">
        <f>IFERROR(_xlfn.MAXIFS('Input - Technical'!$F$3:$F$50,'Input - Technical'!$G$3:$G$50,"less than 1 year",'Input - Technical'!$H$3:$H$50,"F",'Input - Technical'!$I$3:$I$50,"TAS"),0)</f>
        <v>0</v>
      </c>
      <c r="Z28" s="19">
        <f>COUNTIFS('Input - Technical'!$G$3:$G$50,"less that 1 year",'Input - Technical'!$H$3:$H$50,"F",'Input - Technical'!$I$3:$I$50,"NT")</f>
        <v>0</v>
      </c>
      <c r="AA28" s="20">
        <f>IFERROR(AVERAGEIFS('Input - Technical'!$F$3:$F$50,'Input - Technical'!$G$3:$G$50,"less than 1 year",'Input - Technical'!$H$3:$H$50,"F",'Input - Technical'!$I$3:$I$50,"NT"),0)</f>
        <v>0</v>
      </c>
      <c r="AB28" s="20">
        <f>IFERROR(_xlfn.MINIFS('Input - Technical'!$F$3:$F$50,'Input - Technical'!$G$3:$G$50,"less than 1 year",'Input - Technical'!$H$3:$H$50,"F",'Input - Technical'!$I$3:$I$50,"NT"),0)</f>
        <v>0</v>
      </c>
      <c r="AC28" s="21">
        <f>IFERROR(_xlfn.MAXIFS('Input - Technical'!$F$3:$F$50,'Input - Technical'!$G$3:$G$50,"less than 1 year",'Input - Technical'!$H$3:$H$50,"F",'Input - Technical'!$I$3:$I$50,"NT"),0)</f>
        <v>0</v>
      </c>
      <c r="AD28" s="10">
        <f>COUNTIFS('Input - Technical'!$G$3:$G$50,"less that 1 year",'Input - Technical'!$H$3:$H$50,"F",'Input - Technical'!$I$3:$I$50,"ACT")</f>
        <v>0</v>
      </c>
      <c r="AE28" s="12">
        <f>IFERROR(AVERAGEIFS('Input - Technical'!$F$3:$F$50,'Input - Technical'!$G$3:$G$50,"less than 1 year",'Input - Technical'!$H$3:$H$50,"F",'Input - Technical'!$I$3:$I$50,"ACT"),0)</f>
        <v>0</v>
      </c>
      <c r="AF28" s="12">
        <f>IFERROR(_xlfn.MINIFS('Input - Technical'!$F$3:$F$50,'Input - Technical'!$G$3:$G$50,"less than 1 year",'Input - Technical'!$H$3:$H$50,"F",'Input - Technical'!$I$3:$I$50,"ACT"),0)</f>
        <v>0</v>
      </c>
      <c r="AG28" s="15">
        <f>IFERROR(_xlfn.MAXIFS('Input - Technical'!$F$3:$F$50,'Input - Technical'!$G$3:$G$50,"less than 1 year",'Input - Technical'!$H$3:$H$50,"F",'Input - Technical'!$I$3:$I$50,"ACT"),0)</f>
        <v>0</v>
      </c>
    </row>
    <row r="29" spans="1:33" x14ac:dyDescent="0.35">
      <c r="A29" s="11" t="s">
        <v>83</v>
      </c>
      <c r="B29" s="19">
        <f>COUNTIFS('Input - Technical'!$G$3:$G$50,"Up to 3 years",'Input - Technical'!$H$3:$H$50,"M",'Input - Technical'!$I$3:$I$50,"QLD")</f>
        <v>0</v>
      </c>
      <c r="C29" s="20">
        <f>IFERROR(AVERAGEIFS('Input - Technical'!$F$3:$F$50,'Input - Technical'!$G$3:$G$50,"Up to 3 years",'Input - Technical'!$H$3:$H$50,"M",'Input - Technical'!$I$3:$I$50,"QLD"),0)</f>
        <v>0</v>
      </c>
      <c r="D29" s="20">
        <f>IFERROR(_xlfn.MINIFS('Input - Technical'!$F$3:$F$50,'Input - Technical'!$G$3:$G$50,"Up to 3 years",'Input - Technical'!$H$3:$H$50,"M",'Input - Technical'!$I$3:$I$50,"QLD"),0)</f>
        <v>0</v>
      </c>
      <c r="E29" s="21">
        <f>IFERROR(_xlfn.MAXIFS('Input - Technical'!$F$3:$F$50,'Input - Technical'!$G$3:$G$50,"Up to 3 years",'Input - Technical'!$H$3:$H$50,"M",'Input - Technical'!$I$3:$I$50,"QLD"),0)</f>
        <v>0</v>
      </c>
      <c r="F29" s="10">
        <f>COUNTIFS('Input - Technical'!$G$3:$G$50,"Up to 3 years",'Input - Technical'!$H$3:$H$50,"M",'Input - Technical'!$I$3:$I$50,"NSW")</f>
        <v>0</v>
      </c>
      <c r="G29" s="12">
        <f>IFERROR(AVERAGEIFS('Input - Technical'!$F$3:$F$50,'Input - Technical'!$G$3:$G$50,"Up to 3 years",'Input - Technical'!$H$3:$H$50,"M",'Input - Technical'!$I$3:$I$50,"NSW"),0)</f>
        <v>0</v>
      </c>
      <c r="H29" s="12">
        <f>IFERROR(_xlfn.MINIFS('Input - Technical'!$F$3:$F$50,'Input - Technical'!$G$3:$G$50,"Up to 3 years",'Input - Technical'!$H$3:$H$50,"M",'Input - Technical'!$I$3:$I$50,"NSW"),0)</f>
        <v>0</v>
      </c>
      <c r="I29" s="15">
        <f>IFERROR(_xlfn.MAXIFS('Input - Technical'!$F$3:$F$50,'Input - Technical'!$G$3:$G$50,"Up to 3 years",'Input - Technical'!$H$3:$H$50,"M",'Input - Technical'!$I$3:$I$50,"NSW"),0)</f>
        <v>0</v>
      </c>
      <c r="J29" s="19">
        <f>COUNTIFS('Input - Technical'!$G$3:$G$50,"Up to 3 years",'Input - Technical'!$H$3:$H$50,"M",'Input - Technical'!$I$3:$I$50,"VIC")</f>
        <v>0</v>
      </c>
      <c r="K29" s="20">
        <f>IFERROR(AVERAGEIFS('Input - Technical'!$F$3:$F$50,'Input - Technical'!$G$3:$G$50,"Up to 3 years",'Input - Technical'!$H$3:$H$50,"M",'Input - Technical'!$I$3:$I$50,"VIC"),0)</f>
        <v>0</v>
      </c>
      <c r="L29" s="20">
        <f>IFERROR(_xlfn.MINIFS('Input - Technical'!$F$3:$F$50,'Input - Technical'!$G$3:$G$50,"Up to 3 years",'Input - Technical'!$H$3:$H$50,"M",'Input - Technical'!$I$3:$I$50,"VIC"),0)</f>
        <v>0</v>
      </c>
      <c r="M29" s="21">
        <f>IFERROR(_xlfn.MAXIFS('Input - Technical'!$F$3:$F$50,'Input - Technical'!$G$3:$G$50,"Up to 3 years",'Input - Technical'!$H$3:$H$50,"M",'Input - Technical'!$I$3:$I$50,"VIC"),0)</f>
        <v>0</v>
      </c>
      <c r="N29" s="10">
        <f>COUNTIFS('Input - Technical'!$G$3:$G$50,"Up to 3 years",'Input - Technical'!$H$3:$H$50,"M",'Input - Technical'!$I$3:$I$50,"SA")</f>
        <v>0</v>
      </c>
      <c r="O29" s="12">
        <f>IFERROR(AVERAGEIFS('Input - Technical'!$F$3:$F$50,'Input - Technical'!$G$3:$G$50,"Up to 3 years",'Input - Technical'!$H$3:$H$50,"M",'Input - Technical'!$I$3:$I$50,"SA"),0)</f>
        <v>0</v>
      </c>
      <c r="P29" s="12">
        <f>IFERROR(_xlfn.MINIFS('Input - Technical'!$F$3:$F$50,'Input - Technical'!$G$3:$G$50,"Up to 3 years",'Input - Technical'!$H$3:$H$50,"M",'Input - Technical'!$I$3:$I$50,"SA"),0)</f>
        <v>0</v>
      </c>
      <c r="Q29" s="15">
        <f>IFERROR(_xlfn.MAXIFS('Input - Technical'!$F$3:$F$50,'Input - Technical'!$G$3:$G$50,"Up to 3 years",'Input - Technical'!$H$3:$H$50,"M",'Input - Technical'!$I$3:$I$50,"SA"),0)</f>
        <v>0</v>
      </c>
      <c r="R29" s="19">
        <f>COUNTIFS('Input - Technical'!$G$3:$G$50,"Up to 3 years",'Input - Technical'!$H$3:$H$50,"M",'Input - Technical'!$I$3:$I$50,"WA")</f>
        <v>0</v>
      </c>
      <c r="S29" s="20">
        <f>IFERROR(AVERAGEIFS('Input - Technical'!$F$3:$F$50,'Input - Technical'!$G$3:$G$50,"Up to 3 years",'Input - Technical'!$H$3:$H$50,"M",'Input - Technical'!$I$3:$I$50,"WA"),0)</f>
        <v>0</v>
      </c>
      <c r="T29" s="20">
        <f>IFERROR(_xlfn.MINIFS('Input - Technical'!$F$3:$F$50,'Input - Technical'!$G$3:$G$50,"Up to 3 years",'Input - Technical'!$H$3:$H$50,"M",'Input - Technical'!$I$3:$I$50,"WA"),0)</f>
        <v>0</v>
      </c>
      <c r="U29" s="21">
        <f>IFERROR(_xlfn.MAXIFS('Input - Technical'!$F$3:$F$50,'Input - Technical'!$G$3:$G$50,"Up to 3 years",'Input - Technical'!$H$3:$H$50,"M",'Input - Technical'!$I$3:$I$50,"WA"),0)</f>
        <v>0</v>
      </c>
      <c r="V29" s="10">
        <f>COUNTIFS('Input - Technical'!$G$3:$G$50,"Up to 3 years",'Input - Technical'!$H$3:$H$50,"M",'Input - Technical'!$I$3:$I$50,"TAS")</f>
        <v>0</v>
      </c>
      <c r="W29" s="12">
        <f>IFERROR(AVERAGEIFS('Input - Technical'!$F$3:$F$50,'Input - Technical'!$G$3:$G$50,"Up to 3 years",'Input - Technical'!$H$3:$H$50,"M",'Input - Technical'!$I$3:$I$50,"TAS"),0)</f>
        <v>0</v>
      </c>
      <c r="X29" s="12">
        <f>IFERROR(_xlfn.MINIFS('Input - Technical'!$F$3:$F$50,'Input - Technical'!$G$3:$G$50,"Up to 3 years",'Input - Technical'!$H$3:$H$50,"M",'Input - Technical'!$I$3:$I$50,"TAS"),0)</f>
        <v>0</v>
      </c>
      <c r="Y29" s="15">
        <f>IFERROR(_xlfn.MAXIFS('Input - Technical'!$F$3:$F$50,'Input - Technical'!$G$3:$G$50,"Up to 3 years",'Input - Technical'!$H$3:$H$50,"M",'Input - Technical'!$I$3:$I$50,"TAS"),0)</f>
        <v>0</v>
      </c>
      <c r="Z29" s="19">
        <f>COUNTIFS('Input - Technical'!$G$3:$G$50,"Up to 3 years",'Input - Technical'!$H$3:$H$50,"M",'Input - Technical'!$I$3:$I$50,"NT")</f>
        <v>0</v>
      </c>
      <c r="AA29" s="20">
        <f>IFERROR(AVERAGEIFS('Input - Technical'!$F$3:$F$50,'Input - Technical'!$G$3:$G$50,"Up to 3 years",'Input - Technical'!$H$3:$H$50,"M",'Input - Technical'!$I$3:$I$50,"NT"),0)</f>
        <v>0</v>
      </c>
      <c r="AB29" s="20">
        <f>IFERROR(_xlfn.MINIFS('Input - Technical'!$F$3:$F$50,'Input - Technical'!$G$3:$G$50,"Up to 3 years",'Input - Technical'!$H$3:$H$50,"M",'Input - Technical'!$I$3:$I$50,"NT"),0)</f>
        <v>0</v>
      </c>
      <c r="AC29" s="21">
        <f>IFERROR(_xlfn.MAXIFS('Input - Technical'!$F$3:$F$50,'Input - Technical'!$G$3:$G$50,"Up to 3 years",'Input - Technical'!$H$3:$H$50,"M",'Input - Technical'!$I$3:$I$50,"NT"),0)</f>
        <v>0</v>
      </c>
      <c r="AD29" s="10">
        <f>COUNTIFS('Input - Technical'!$G$3:$G$50,"Up to 3 years",'Input - Technical'!$H$3:$H$50,"M",'Input - Technical'!$I$3:$I$50,"ACT")</f>
        <v>0</v>
      </c>
      <c r="AE29" s="12">
        <f>IFERROR(AVERAGEIFS('Input - Technical'!$F$3:$F$50,'Input - Technical'!$G$3:$G$50,"Up to 3 years",'Input - Technical'!$H$3:$H$50,"M",'Input - Technical'!$I$3:$I$50,"ACT"),0)</f>
        <v>0</v>
      </c>
      <c r="AF29" s="12">
        <f>IFERROR(_xlfn.MINIFS('Input - Technical'!$F$3:$F$50,'Input - Technical'!$G$3:$G$50,"Up to 3 years",'Input - Technical'!$H$3:$H$50,"M",'Input - Technical'!$I$3:$I$50,"ACT"),0)</f>
        <v>0</v>
      </c>
      <c r="AG29" s="15">
        <f>IFERROR(_xlfn.MAXIFS('Input - Technical'!$F$3:$F$50,'Input - Technical'!$G$3:$G$50,"Up to 3 years",'Input - Technical'!$H$3:$H$50,"M",'Input - Technical'!$I$3:$I$50,"ACT"),0)</f>
        <v>0</v>
      </c>
    </row>
    <row r="30" spans="1:33" x14ac:dyDescent="0.35">
      <c r="A30" s="11" t="s">
        <v>84</v>
      </c>
      <c r="B30" s="19">
        <f>COUNTIFS('Input - Technical'!$G$3:$G$50,"Up to 3 years",'Input - Technical'!$H$3:$H$50,"F",'Input - Technical'!$I$3:$I$50,"QLD")</f>
        <v>0</v>
      </c>
      <c r="C30" s="20">
        <f>IFERROR(AVERAGEIFS('Input - Technical'!$F$3:$F$50,'Input - Technical'!$G$3:$G$50,"Up to 3 years",'Input - Technical'!$H$3:$H$50,"F",'Input - Technical'!$I$3:$I$50,"QLD"),0)</f>
        <v>0</v>
      </c>
      <c r="D30" s="20">
        <f>IFERROR(_xlfn.MINIFS('Input - Technical'!$F$3:$F$50,'Input - Technical'!$G$3:$G$50,"Up to 3 years",'Input - Technical'!$H$3:$H$50,"F",'Input - Technical'!$I$3:$I$50,"QLD"),0)</f>
        <v>0</v>
      </c>
      <c r="E30" s="21">
        <f>IFERROR(_xlfn.MAXIFS('Input - Technical'!$F$3:$F$50,'Input - Technical'!$G$3:$G$50,"Up to 3 years",'Input - Technical'!$H$3:$H$50,"F",'Input - Technical'!$I$3:$I$50,"QLD"),0)</f>
        <v>0</v>
      </c>
      <c r="F30" s="10">
        <f>COUNTIFS('Input - Technical'!$G$3:$G$50,"Up to 3 years",'Input - Technical'!$H$3:$H$50,"F",'Input - Technical'!$I$3:$I$50,"NSW")</f>
        <v>0</v>
      </c>
      <c r="G30" s="12">
        <f>IFERROR(AVERAGEIFS('Input - Technical'!$F$3:$F$50,'Input - Technical'!$G$3:$G$50,"Up to 3 years",'Input - Technical'!$H$3:$H$50,"F",'Input - Technical'!$I$3:$I$50,"NSW"),0)</f>
        <v>0</v>
      </c>
      <c r="H30" s="12">
        <f>IFERROR(_xlfn.MINIFS('Input - Technical'!$F$3:$F$50,'Input - Technical'!$G$3:$G$50,"Up to 3 years",'Input - Technical'!$H$3:$H$50,"F",'Input - Technical'!$I$3:$I$50,"NSW"),0)</f>
        <v>0</v>
      </c>
      <c r="I30" s="15">
        <f>IFERROR(_xlfn.MAXIFS('Input - Technical'!$F$3:$F$50,'Input - Technical'!$G$3:$G$50,"Up to 3 years",'Input - Technical'!$H$3:$H$50,"F",'Input - Technical'!$I$3:$I$50,"NSW"),0)</f>
        <v>0</v>
      </c>
      <c r="J30" s="19">
        <f>COUNTIFS('Input - Technical'!$G$3:$G$50,"Up to 3 years",'Input - Technical'!$H$3:$H$50,"F",'Input - Technical'!$I$3:$I$50,"VIC")</f>
        <v>0</v>
      </c>
      <c r="K30" s="20">
        <f>IFERROR(AVERAGEIFS('Input - Technical'!$F$3:$F$50,'Input - Technical'!$G$3:$G$50,"Up to 3 years",'Input - Technical'!$H$3:$H$50,"F",'Input - Technical'!$I$3:$I$50,"VIC"),0)</f>
        <v>0</v>
      </c>
      <c r="L30" s="20">
        <f>IFERROR(_xlfn.MINIFS('Input - Technical'!$F$3:$F$50,'Input - Technical'!$G$3:$G$50,"Up to 3 years",'Input - Technical'!$H$3:$H$50,"F",'Input - Technical'!$I$3:$I$50,"VIC"),0)</f>
        <v>0</v>
      </c>
      <c r="M30" s="21">
        <f>IFERROR(_xlfn.MAXIFS('Input - Technical'!$F$3:$F$50,'Input - Technical'!$G$3:$G$50,"Up to 3 years",'Input - Technical'!$H$3:$H$50,"F",'Input - Technical'!$I$3:$I$50,"VIC"),0)</f>
        <v>0</v>
      </c>
      <c r="N30" s="10">
        <f>COUNTIFS('Input - Technical'!$G$3:$G$50,"Up to 3 years",'Input - Technical'!$H$3:$H$50,"F",'Input - Technical'!$I$3:$I$50,"SA")</f>
        <v>0</v>
      </c>
      <c r="O30" s="12">
        <f>IFERROR(AVERAGEIFS('Input - Technical'!$F$3:$F$50,'Input - Technical'!$G$3:$G$50,"Up to 3 years",'Input - Technical'!$H$3:$H$50,"F",'Input - Technical'!$I$3:$I$50,"SA"),0)</f>
        <v>0</v>
      </c>
      <c r="P30" s="12">
        <f>IFERROR(_xlfn.MINIFS('Input - Technical'!$F$3:$F$50,'Input - Technical'!$G$3:$G$50,"Up to 3 years",'Input - Technical'!$H$3:$H$50,"F",'Input - Technical'!$I$3:$I$50,"SA"),0)</f>
        <v>0</v>
      </c>
      <c r="Q30" s="15">
        <f>IFERROR(_xlfn.MAXIFS('Input - Technical'!$F$3:$F$50,'Input - Technical'!$G$3:$G$50,"Up to 3 years",'Input - Technical'!$H$3:$H$50,"F",'Input - Technical'!$I$3:$I$50,"SA"),0)</f>
        <v>0</v>
      </c>
      <c r="R30" s="19">
        <f>COUNTIFS('Input - Technical'!$G$3:$G$50,"Up to 3 years",'Input - Technical'!$H$3:$H$50,"F",'Input - Technical'!$I$3:$I$50,"WA")</f>
        <v>0</v>
      </c>
      <c r="S30" s="20">
        <f>IFERROR(AVERAGEIFS('Input - Technical'!$F$3:$F$50,'Input - Technical'!$G$3:$G$50,"Up to 3 years",'Input - Technical'!$H$3:$H$50,"F",'Input - Technical'!$I$3:$I$50,"WA"),0)</f>
        <v>0</v>
      </c>
      <c r="T30" s="20">
        <f>IFERROR(_xlfn.MINIFS('Input - Technical'!$F$3:$F$50,'Input - Technical'!$G$3:$G$50,"Up to 3 years",'Input - Technical'!$H$3:$H$50,"F",'Input - Technical'!$I$3:$I$50,"WA"),0)</f>
        <v>0</v>
      </c>
      <c r="U30" s="21">
        <f>IFERROR(_xlfn.MAXIFS('Input - Technical'!$F$3:$F$50,'Input - Technical'!$G$3:$G$50,"Up to 3 years",'Input - Technical'!$H$3:$H$50,"F",'Input - Technical'!$I$3:$I$50,"WA"),0)</f>
        <v>0</v>
      </c>
      <c r="V30" s="10">
        <f>COUNTIFS('Input - Technical'!$G$3:$G$50,"Up to 3 years",'Input - Technical'!$H$3:$H$50,"F",'Input - Technical'!$I$3:$I$50,"TAS")</f>
        <v>0</v>
      </c>
      <c r="W30" s="12">
        <f>IFERROR(AVERAGEIFS('Input - Technical'!$F$3:$F$50,'Input - Technical'!$G$3:$G$50,"Up to 3 years",'Input - Technical'!$H$3:$H$50,"F",'Input - Technical'!$I$3:$I$50,"TAS"),0)</f>
        <v>0</v>
      </c>
      <c r="X30" s="12">
        <f>IFERROR(_xlfn.MINIFS('Input - Technical'!$F$3:$F$50,'Input - Technical'!$G$3:$G$50,"Up to 3 years",'Input - Technical'!$H$3:$H$50,"F",'Input - Technical'!$I$3:$I$50,"TAS"),0)</f>
        <v>0</v>
      </c>
      <c r="Y30" s="15">
        <f>IFERROR(_xlfn.MAXIFS('Input - Technical'!$F$3:$F$50,'Input - Technical'!$G$3:$G$50,"Up to 3 years",'Input - Technical'!$H$3:$H$50,"F",'Input - Technical'!$I$3:$I$50,"TAS"),0)</f>
        <v>0</v>
      </c>
      <c r="Z30" s="19">
        <f>COUNTIFS('Input - Technical'!$G$3:$G$50,"Up to 3 years",'Input - Technical'!$H$3:$H$50,"F",'Input - Technical'!$I$3:$I$50,"NT")</f>
        <v>0</v>
      </c>
      <c r="AA30" s="20">
        <f>IFERROR(AVERAGEIFS('Input - Technical'!$F$3:$F$50,'Input - Technical'!$G$3:$G$50,"Up to 3 years",'Input - Technical'!$H$3:$H$50,"F",'Input - Technical'!$I$3:$I$50,"NT"),0)</f>
        <v>0</v>
      </c>
      <c r="AB30" s="20">
        <f>IFERROR(_xlfn.MINIFS('Input - Technical'!$F$3:$F$50,'Input - Technical'!$G$3:$G$50,"Up to 3 years",'Input - Technical'!$H$3:$H$50,"F",'Input - Technical'!$I$3:$I$50,"NT"),0)</f>
        <v>0</v>
      </c>
      <c r="AC30" s="21">
        <f>IFERROR(_xlfn.MAXIFS('Input - Technical'!$F$3:$F$50,'Input - Technical'!$G$3:$G$50,"Up to 3 years",'Input - Technical'!$H$3:$H$50,"F",'Input - Technical'!$I$3:$I$50,"NT"),0)</f>
        <v>0</v>
      </c>
      <c r="AD30" s="10">
        <f>COUNTIFS('Input - Technical'!$G$3:$G$50,"Up to 3 years",'Input - Technical'!$H$3:$H$50,"F",'Input - Technical'!$I$3:$I$50,"ACT")</f>
        <v>0</v>
      </c>
      <c r="AE30" s="12">
        <f>IFERROR(AVERAGEIFS('Input - Technical'!$F$3:$F$50,'Input - Technical'!$G$3:$G$50,"Up to 3 years",'Input - Technical'!$H$3:$H$50,"F",'Input - Technical'!$I$3:$I$50,"ACT"),0)</f>
        <v>0</v>
      </c>
      <c r="AF30" s="12">
        <f>IFERROR(_xlfn.MINIFS('Input - Technical'!$F$3:$F$50,'Input - Technical'!$G$3:$G$50,"Up to 3 years",'Input - Technical'!$H$3:$H$50,"F",'Input - Technical'!$I$3:$I$50,"ACT"),0)</f>
        <v>0</v>
      </c>
      <c r="AG30" s="15">
        <f>IFERROR(_xlfn.MAXIFS('Input - Technical'!$F$3:$F$50,'Input - Technical'!$G$3:$G$50,"Up to 3 years",'Input - Technical'!$H$3:$H$50,"F",'Input - Technical'!$I$3:$I$50,"ACT"),0)</f>
        <v>0</v>
      </c>
    </row>
    <row r="31" spans="1:33" x14ac:dyDescent="0.35">
      <c r="A31" s="11" t="s">
        <v>85</v>
      </c>
      <c r="B31" s="19">
        <f>COUNTIFS('Input - Technical'!$G$3:$G$50,"Up to 6 years",'Input - Technical'!$H$3:$H$50,"M",'Input - Technical'!$I$3:$I$50,"QLD")</f>
        <v>0</v>
      </c>
      <c r="C31" s="20">
        <f>IFERROR(AVERAGEIFS('Input - Technical'!$F$3:$F$50,'Input - Technical'!$G$3:$G$50,"Up to 6 years",'Input - Technical'!$H$3:$H$50,"M",'Input - Technical'!$I$3:$I$50,"QLD"),0)</f>
        <v>0</v>
      </c>
      <c r="D31" s="20">
        <f>IFERROR(_xlfn.MINIFS('Input - Technical'!$F$3:$F$50,'Input - Technical'!$G$3:$G$50,"Up to 6 years",'Input - Technical'!$H$3:$H$50,"M",'Input - Technical'!$I$3:$I$50,"QLD"),0)</f>
        <v>0</v>
      </c>
      <c r="E31" s="21">
        <f>IFERROR(_xlfn.MAXIFS('Input - Technical'!$F$3:$F$50,'Input - Technical'!$G$3:$G$50,"Up to 6 years",'Input - Technical'!$H$3:$H$50,"M",'Input - Technical'!$I$3:$I$50,"QLD"),0)</f>
        <v>0</v>
      </c>
      <c r="F31" s="10">
        <f>COUNTIFS('Input - Technical'!$G$3:$G$50,"Up to 6 years",'Input - Technical'!$H$3:$H$50,"M",'Input - Technical'!$I$3:$I$50,"NSW")</f>
        <v>0</v>
      </c>
      <c r="G31" s="12">
        <f>IFERROR(AVERAGEIFS('Input - Technical'!$F$3:$F$50,'Input - Technical'!$G$3:$G$50,"Up to 6 years",'Input - Technical'!$H$3:$H$50,"M",'Input - Technical'!$I$3:$I$50,"NSW"),0)</f>
        <v>0</v>
      </c>
      <c r="H31" s="12">
        <f>IFERROR(_xlfn.MINIFS('Input - Technical'!$F$3:$F$50,'Input - Technical'!$G$3:$G$50,"Up to 6 years",'Input - Technical'!$H$3:$H$50,"M",'Input - Technical'!$I$3:$I$50,"NSW"),0)</f>
        <v>0</v>
      </c>
      <c r="I31" s="15">
        <f>IFERROR(_xlfn.MAXIFS('Input - Technical'!$F$3:$F$50,'Input - Technical'!$G$3:$G$50,"Up to 6 years",'Input - Technical'!$H$3:$H$50,"M",'Input - Technical'!$I$3:$I$50,"NSW"),0)</f>
        <v>0</v>
      </c>
      <c r="J31" s="19">
        <f>COUNTIFS('Input - Technical'!$G$3:$G$50,"Up to 6 years",'Input - Technical'!$H$3:$H$50,"M",'Input - Technical'!$I$3:$I$50,"VIC")</f>
        <v>0</v>
      </c>
      <c r="K31" s="20">
        <f>IFERROR(AVERAGEIFS('Input - Technical'!$F$3:$F$50,'Input - Technical'!$G$3:$G$50,"Up to 6 years",'Input - Technical'!$H$3:$H$50,"M",'Input - Technical'!$I$3:$I$50,"VIC"),0)</f>
        <v>0</v>
      </c>
      <c r="L31" s="20">
        <f>IFERROR(_xlfn.MINIFS('Input - Technical'!$F$3:$F$50,'Input - Technical'!$G$3:$G$50,"Up to 6 years",'Input - Technical'!$H$3:$H$50,"M",'Input - Technical'!$I$3:$I$50,"VIC"),0)</f>
        <v>0</v>
      </c>
      <c r="M31" s="21">
        <f>IFERROR(_xlfn.MAXIFS('Input - Technical'!$F$3:$F$50,'Input - Technical'!$G$3:$G$50,"Up to 6 years",'Input - Technical'!$H$3:$H$50,"M",'Input - Technical'!$I$3:$I$50,"VIC"),0)</f>
        <v>0</v>
      </c>
      <c r="N31" s="10">
        <f>COUNTIFS('Input - Technical'!$G$3:$G$50,"Up to 6 years",'Input - Technical'!$H$3:$H$50,"M",'Input - Technical'!$I$3:$I$50,"SA")</f>
        <v>0</v>
      </c>
      <c r="O31" s="12">
        <f>IFERROR(AVERAGEIFS('Input - Technical'!$F$3:$F$50,'Input - Technical'!$G$3:$G$50,"Up to 6 years",'Input - Technical'!$H$3:$H$50,"M",'Input - Technical'!$I$3:$I$50,"SA"),0)</f>
        <v>0</v>
      </c>
      <c r="P31" s="12">
        <f>IFERROR(_xlfn.MINIFS('Input - Technical'!$F$3:$F$50,'Input - Technical'!$G$3:$G$50,"Up to 6 years",'Input - Technical'!$H$3:$H$50,"M",'Input - Technical'!$I$3:$I$50,"SA"),0)</f>
        <v>0</v>
      </c>
      <c r="Q31" s="15">
        <f>IFERROR(_xlfn.MAXIFS('Input - Technical'!$F$3:$F$50,'Input - Technical'!$G$3:$G$50,"Up to 6 years",'Input - Technical'!$H$3:$H$50,"M",'Input - Technical'!$I$3:$I$50,"SA"),0)</f>
        <v>0</v>
      </c>
      <c r="R31" s="19">
        <f>COUNTIFS('Input - Technical'!$G$3:$G$50,"Up to 6 years",'Input - Technical'!$H$3:$H$50,"M",'Input - Technical'!$I$3:$I$50,"WA")</f>
        <v>0</v>
      </c>
      <c r="S31" s="20">
        <f>IFERROR(AVERAGEIFS('Input - Technical'!$F$3:$F$50,'Input - Technical'!$G$3:$G$50,"Up to 6 years",'Input - Technical'!$H$3:$H$50,"M",'Input - Technical'!$I$3:$I$50,"WA"),0)</f>
        <v>0</v>
      </c>
      <c r="T31" s="20">
        <f>IFERROR(_xlfn.MINIFS('Input - Technical'!$F$3:$F$50,'Input - Technical'!$G$3:$G$50,"Up to 6 years",'Input - Technical'!$H$3:$H$50,"M",'Input - Technical'!$I$3:$I$50,"WA"),0)</f>
        <v>0</v>
      </c>
      <c r="U31" s="21">
        <f>IFERROR(_xlfn.MAXIFS('Input - Technical'!$F$3:$F$50,'Input - Technical'!$G$3:$G$50,"Up to 6 years",'Input - Technical'!$H$3:$H$50,"M",'Input - Technical'!$I$3:$I$50,"WA"),0)</f>
        <v>0</v>
      </c>
      <c r="V31" s="10">
        <f>COUNTIFS('Input - Technical'!$G$3:$G$50,"Up to 6 years",'Input - Technical'!$H$3:$H$50,"M",'Input - Technical'!$I$3:$I$50,"TAS")</f>
        <v>0</v>
      </c>
      <c r="W31" s="12">
        <f>IFERROR(AVERAGEIFS('Input - Technical'!$F$3:$F$50,'Input - Technical'!$G$3:$G$50,"Up to 6 years",'Input - Technical'!$H$3:$H$50,"M",'Input - Technical'!$I$3:$I$50,"TAS"),0)</f>
        <v>0</v>
      </c>
      <c r="X31" s="12">
        <f>IFERROR(_xlfn.MINIFS('Input - Technical'!$F$3:$F$50,'Input - Technical'!$G$3:$G$50,"Up to 6 years",'Input - Technical'!$H$3:$H$50,"M",'Input - Technical'!$I$3:$I$50,"TAS"),0)</f>
        <v>0</v>
      </c>
      <c r="Y31" s="15">
        <f>IFERROR(_xlfn.MAXIFS('Input - Technical'!$F$3:$F$50,'Input - Technical'!$G$3:$G$50,"Up to 6 years",'Input - Technical'!$H$3:$H$50,"M",'Input - Technical'!$I$3:$I$50,"TAS"),0)</f>
        <v>0</v>
      </c>
      <c r="Z31" s="19">
        <f>COUNTIFS('Input - Technical'!$G$3:$G$50,"Up to 6 years",'Input - Technical'!$H$3:$H$50,"M",'Input - Technical'!$I$3:$I$50,"NT")</f>
        <v>0</v>
      </c>
      <c r="AA31" s="20">
        <f>IFERROR(AVERAGEIFS('Input - Technical'!$F$3:$F$50,'Input - Technical'!$G$3:$G$50,"Up to 6 years",'Input - Technical'!$H$3:$H$50,"M",'Input - Technical'!$I$3:$I$50,"NT"),0)</f>
        <v>0</v>
      </c>
      <c r="AB31" s="20">
        <f>IFERROR(_xlfn.MINIFS('Input - Technical'!$F$3:$F$50,'Input - Technical'!$G$3:$G$50,"Up to 6 years",'Input - Technical'!$H$3:$H$50,"M",'Input - Technical'!$I$3:$I$50,"NT"),0)</f>
        <v>0</v>
      </c>
      <c r="AC31" s="21">
        <f>IFERROR(_xlfn.MAXIFS('Input - Technical'!$F$3:$F$50,'Input - Technical'!$G$3:$G$50,"Up to 6 years",'Input - Technical'!$H$3:$H$50,"M",'Input - Technical'!$I$3:$I$50,"NT"),0)</f>
        <v>0</v>
      </c>
      <c r="AD31" s="10">
        <f>COUNTIFS('Input - Technical'!$G$3:$G$50,"Up to 6 years",'Input - Technical'!$H$3:$H$50,"M",'Input - Technical'!$I$3:$I$50,"ACT")</f>
        <v>1</v>
      </c>
      <c r="AE31" s="12">
        <f>IFERROR(AVERAGEIFS('Input - Technical'!$F$3:$F$50,'Input - Technical'!$G$3:$G$50,"Up to 6 years",'Input - Technical'!$H$3:$H$50,"M",'Input - Technical'!$I$3:$I$50,"ACT"),0)</f>
        <v>1344</v>
      </c>
      <c r="AF31" s="12">
        <f>IFERROR(_xlfn.MINIFS('Input - Technical'!$F$3:$F$50,'Input - Technical'!$G$3:$G$50,"Up to 6 years",'Input - Technical'!$H$3:$H$50,"M",'Input - Technical'!$I$3:$I$50,"ACT"),0)</f>
        <v>1344</v>
      </c>
      <c r="AG31" s="15">
        <f>IFERROR(_xlfn.MAXIFS('Input - Technical'!$F$3:$F$50,'Input - Technical'!$G$3:$G$50,"Up to 6 years",'Input - Technical'!$H$3:$H$50,"M",'Input - Technical'!$I$3:$I$50,"ACT"),0)</f>
        <v>1344</v>
      </c>
    </row>
    <row r="32" spans="1:33" x14ac:dyDescent="0.35">
      <c r="A32" s="11" t="s">
        <v>86</v>
      </c>
      <c r="B32" s="19">
        <f>COUNTIFS('Input - Technical'!$G$3:$G$50,"Up to 6 years",'Input - Technical'!$H$3:$H$50,"F",'Input - Technical'!$I$3:$I$50,"QLD")</f>
        <v>0</v>
      </c>
      <c r="C32" s="20">
        <f>IFERROR(AVERAGEIFS('Input - Technical'!$F$3:$F$50,'Input - Technical'!$G$3:$G$50,"Up to 6 years",'Input - Technical'!$H$3:$H$50,"F",'Input - Technical'!$I$3:$I$50,"QLD"),0)</f>
        <v>0</v>
      </c>
      <c r="D32" s="20">
        <f>IFERROR(_xlfn.MINIFS('Input - Technical'!$F$3:$F$50,'Input - Technical'!$G$3:$G$50,"Up to 6 years",'Input - Technical'!$H$3:$H$50,"F",'Input - Technical'!$I$3:$I$50,"QLD"),0)</f>
        <v>0</v>
      </c>
      <c r="E32" s="21">
        <f>IFERROR(_xlfn.MAXIFS('Input - Technical'!$F$3:$F$50,'Input - Technical'!$G$3:$G$50,"Up to 6 years",'Input - Technical'!$H$3:$H$50,"F",'Input - Technical'!$I$3:$I$50,"QLD"),0)</f>
        <v>0</v>
      </c>
      <c r="F32" s="10">
        <f>COUNTIFS('Input - Technical'!$G$3:$G$50,"Up to 6 years",'Input - Technical'!$H$3:$H$50,"F",'Input - Technical'!$I$3:$I$50,"NSW")</f>
        <v>0</v>
      </c>
      <c r="G32" s="12">
        <f>IFERROR(AVERAGEIFS('Input - Technical'!$F$3:$F$50,'Input - Technical'!$G$3:$G$50,"Up to 6 years",'Input - Technical'!$H$3:$H$50,"F",'Input - Technical'!$I$3:$I$50,"NSW"),0)</f>
        <v>0</v>
      </c>
      <c r="H32" s="12">
        <f>IFERROR(_xlfn.MINIFS('Input - Technical'!$F$3:$F$50,'Input - Technical'!$G$3:$G$50,"Up to 6 years",'Input - Technical'!$H$3:$H$50,"F",'Input - Technical'!$I$3:$I$50,"NSW"),0)</f>
        <v>0</v>
      </c>
      <c r="I32" s="15">
        <f>IFERROR(_xlfn.MAXIFS('Input - Technical'!$F$3:$F$50,'Input - Technical'!$G$3:$G$50,"Up to 6 years",'Input - Technical'!$H$3:$H$50,"F",'Input - Technical'!$I$3:$I$50,"NSW"),0)</f>
        <v>0</v>
      </c>
      <c r="J32" s="19">
        <f>COUNTIFS('Input - Technical'!$G$3:$G$50,"Up to 6 years",'Input - Technical'!$H$3:$H$50,"F",'Input - Technical'!$I$3:$I$50,"VIC")</f>
        <v>0</v>
      </c>
      <c r="K32" s="20">
        <f>IFERROR(AVERAGEIFS('Input - Technical'!$F$3:$F$50,'Input - Technical'!$G$3:$G$50,"Up to 6 years",'Input - Technical'!$H$3:$H$50,"F",'Input - Technical'!$I$3:$I$50,"VIC"),0)</f>
        <v>0</v>
      </c>
      <c r="L32" s="20">
        <f>IFERROR(_xlfn.MINIFS('Input - Technical'!$F$3:$F$50,'Input - Technical'!$G$3:$G$50,"Up to 6 years",'Input - Technical'!$H$3:$H$50,"F",'Input - Technical'!$I$3:$I$50,"VIC"),0)</f>
        <v>0</v>
      </c>
      <c r="M32" s="21">
        <f>IFERROR(_xlfn.MAXIFS('Input - Technical'!$F$3:$F$50,'Input - Technical'!$G$3:$G$50,"Up to 6 years",'Input - Technical'!$H$3:$H$50,"F",'Input - Technical'!$I$3:$I$50,"VIC"),0)</f>
        <v>0</v>
      </c>
      <c r="N32" s="10">
        <f>COUNTIFS('Input - Technical'!$G$3:$G$50,"Up to 6 years",'Input - Technical'!$H$3:$H$50,"F",'Input - Technical'!$I$3:$I$50,"SA")</f>
        <v>0</v>
      </c>
      <c r="O32" s="12">
        <f>IFERROR(AVERAGEIFS('Input - Technical'!$F$3:$F$50,'Input - Technical'!$G$3:$G$50,"Up to 6 years",'Input - Technical'!$H$3:$H$50,"F",'Input - Technical'!$I$3:$I$50,"SA"),0)</f>
        <v>0</v>
      </c>
      <c r="P32" s="12">
        <f>IFERROR(_xlfn.MINIFS('Input - Technical'!$F$3:$F$50,'Input - Technical'!$G$3:$G$50,"Up to 6 years",'Input - Technical'!$H$3:$H$50,"F",'Input - Technical'!$I$3:$I$50,"SA"),0)</f>
        <v>0</v>
      </c>
      <c r="Q32" s="15">
        <f>IFERROR(_xlfn.MAXIFS('Input - Technical'!$F$3:$F$50,'Input - Technical'!$G$3:$G$50,"Up to 6 years",'Input - Technical'!$H$3:$H$50,"F",'Input - Technical'!$I$3:$I$50,"SA"),0)</f>
        <v>0</v>
      </c>
      <c r="R32" s="19">
        <f>COUNTIFS('Input - Technical'!$G$3:$G$50,"Up to 6 years",'Input - Technical'!$H$3:$H$50,"F",'Input - Technical'!$I$3:$I$50,"WA")</f>
        <v>0</v>
      </c>
      <c r="S32" s="20">
        <f>IFERROR(AVERAGEIFS('Input - Technical'!$F$3:$F$50,'Input - Technical'!$G$3:$G$50,"Up to 6 years",'Input - Technical'!$H$3:$H$50,"F",'Input - Technical'!$I$3:$I$50,"WA"),0)</f>
        <v>0</v>
      </c>
      <c r="T32" s="20">
        <f>IFERROR(_xlfn.MINIFS('Input - Technical'!$F$3:$F$50,'Input - Technical'!$G$3:$G$50,"Up to 6 years",'Input - Technical'!$H$3:$H$50,"F",'Input - Technical'!$I$3:$I$50,"WA"),0)</f>
        <v>0</v>
      </c>
      <c r="U32" s="21">
        <f>IFERROR(_xlfn.MAXIFS('Input - Technical'!$F$3:$F$50,'Input - Technical'!$G$3:$G$50,"Up to 6 years",'Input - Technical'!$H$3:$H$50,"F",'Input - Technical'!$I$3:$I$50,"WA"),0)</f>
        <v>0</v>
      </c>
      <c r="V32" s="10">
        <f>COUNTIFS('Input - Technical'!$G$3:$G$50,"Up to 6 years",'Input - Technical'!$H$3:$H$50,"F",'Input - Technical'!$I$3:$I$50,"TAS")</f>
        <v>0</v>
      </c>
      <c r="W32" s="12">
        <f>IFERROR(AVERAGEIFS('Input - Technical'!$F$3:$F$50,'Input - Technical'!$G$3:$G$50,"Up to 6 years",'Input - Technical'!$H$3:$H$50,"F",'Input - Technical'!$I$3:$I$50,"TAS"),0)</f>
        <v>0</v>
      </c>
      <c r="X32" s="12">
        <f>IFERROR(_xlfn.MINIFS('Input - Technical'!$F$3:$F$50,'Input - Technical'!$G$3:$G$50,"Up to 6 years",'Input - Technical'!$H$3:$H$50,"F",'Input - Technical'!$I$3:$I$50,"TAS"),0)</f>
        <v>0</v>
      </c>
      <c r="Y32" s="15">
        <f>IFERROR(_xlfn.MAXIFS('Input - Technical'!$F$3:$F$50,'Input - Technical'!$G$3:$G$50,"Up to 6 years",'Input - Technical'!$H$3:$H$50,"F",'Input - Technical'!$I$3:$I$50,"TAS"),0)</f>
        <v>0</v>
      </c>
      <c r="Z32" s="19">
        <f>COUNTIFS('Input - Technical'!$G$3:$G$50,"Up to 6 years",'Input - Technical'!$H$3:$H$50,"F",'Input - Technical'!$I$3:$I$50,"NT")</f>
        <v>0</v>
      </c>
      <c r="AA32" s="20">
        <f>IFERROR(AVERAGEIFS('Input - Technical'!$F$3:$F$50,'Input - Technical'!$G$3:$G$50,"Up to 6 years",'Input - Technical'!$H$3:$H$50,"F",'Input - Technical'!$I$3:$I$50,"NT"),0)</f>
        <v>0</v>
      </c>
      <c r="AB32" s="20">
        <f>IFERROR(_xlfn.MINIFS('Input - Technical'!$F$3:$F$50,'Input - Technical'!$G$3:$G$50,"Up to 6 years",'Input - Technical'!$H$3:$H$50,"F",'Input - Technical'!$I$3:$I$50,"NT"),0)</f>
        <v>0</v>
      </c>
      <c r="AC32" s="21">
        <f>IFERROR(_xlfn.MAXIFS('Input - Technical'!$F$3:$F$50,'Input - Technical'!$G$3:$G$50,"Up to 6 years",'Input - Technical'!$H$3:$H$50,"F",'Input - Technical'!$I$3:$I$50,"NT"),0)</f>
        <v>0</v>
      </c>
      <c r="AD32" s="10">
        <f>COUNTIFS('Input - Technical'!$G$3:$G$50,"Up to 6 years",'Input - Technical'!$H$3:$H$50,"F",'Input - Technical'!$I$3:$I$50,"ACT")</f>
        <v>0</v>
      </c>
      <c r="AE32" s="12">
        <f>IFERROR(AVERAGEIFS('Input - Technical'!$F$3:$F$50,'Input - Technical'!$G$3:$G$50,"Up to 6 years",'Input - Technical'!$H$3:$H$50,"F",'Input - Technical'!$I$3:$I$50,"ACT"),0)</f>
        <v>0</v>
      </c>
      <c r="AF32" s="12">
        <f>IFERROR(_xlfn.MINIFS('Input - Technical'!$F$3:$F$50,'Input - Technical'!$G$3:$G$50,"Up to 6 years",'Input - Technical'!$H$3:$H$50,"F",'Input - Technical'!$I$3:$I$50,"ACT"),0)</f>
        <v>0</v>
      </c>
      <c r="AG32" s="15">
        <f>IFERROR(_xlfn.MAXIFS('Input - Technical'!$F$3:$F$50,'Input - Technical'!$G$3:$G$50,"Up to 6 years",'Input - Technical'!$H$3:$H$50,"F",'Input - Technical'!$I$3:$I$50,"ACT"),0)</f>
        <v>0</v>
      </c>
    </row>
    <row r="33" spans="1:33" x14ac:dyDescent="0.35">
      <c r="A33" s="11" t="s">
        <v>87</v>
      </c>
      <c r="B33" s="19">
        <f>COUNTIFS('Input - Technical'!$G$3:$G$50,"Over 6 years",'Input - Technical'!$H$3:$H$50,"M",'Input - Technical'!$I$3:$I$50,"QLD")</f>
        <v>1</v>
      </c>
      <c r="C33" s="20">
        <f>IFERROR(AVERAGEIFS('Input - Technical'!$F$3:$F$50,'Input - Technical'!$G$3:$G$50,"Over 6 years",'Input - Technical'!$H$3:$H$50,"M",'Input - Technical'!$I$3:$I$50,"QLD"),0)</f>
        <v>2000.32</v>
      </c>
      <c r="D33" s="20">
        <f>IFERROR(_xlfn.MINIFS('Input - Technical'!$F$3:$F$50,'Input - Technical'!$G$3:$G$50,"Over 6 years",'Input - Technical'!$H$3:$H$50,"M",'Input - Technical'!$I$3:$I$50,"QLD"),0)</f>
        <v>2000.32</v>
      </c>
      <c r="E33" s="21">
        <f>IFERROR(_xlfn.MAXIFS('Input - Technical'!$F$3:$F$50,'Input - Technical'!$G$3:$G$50,"Over 6 years",'Input - Technical'!$H$3:$H$50,"M",'Input - Technical'!$I$3:$I$50,"QLD"),0)</f>
        <v>2000.32</v>
      </c>
      <c r="F33" s="10">
        <f>COUNTIFS('Input - Technical'!$G$3:$G$50,"Over 6 years",'Input - Technical'!$H$3:$H$50,"M",'Input - Technical'!$I$3:$I$50,"NSW")</f>
        <v>0</v>
      </c>
      <c r="G33" s="12">
        <f>IFERROR(AVERAGEIFS('Input - Technical'!$F$3:$F$50,'Input - Technical'!$G$3:$G$50,"Over 6 years",'Input - Technical'!$H$3:$H$50,"M",'Input - Technical'!$I$3:$I$50,"NSW"),0)</f>
        <v>0</v>
      </c>
      <c r="H33" s="12">
        <f>IFERROR(_xlfn.MINIFS('Input - Technical'!$F$3:$F$50,'Input - Technical'!$G$3:$G$50,"Over 6 years",'Input - Technical'!$H$3:$H$50,"M",'Input - Technical'!$I$3:$I$50,"NSW"),0)</f>
        <v>0</v>
      </c>
      <c r="I33" s="15">
        <f>IFERROR(_xlfn.MAXIFS('Input - Technical'!$F$3:$F$50,'Input - Technical'!$G$3:$G$50,"Over 6 years",'Input - Technical'!$H$3:$H$50,"M",'Input - Technical'!$I$3:$I$50,"NSW"),0)</f>
        <v>0</v>
      </c>
      <c r="J33" s="19">
        <f>COUNTIFS('Input - Technical'!$G$3:$G$50,"Over 6 years",'Input - Technical'!$H$3:$H$50,"M",'Input - Technical'!$I$3:$I$50,"VIC")</f>
        <v>0</v>
      </c>
      <c r="K33" s="20">
        <f>IFERROR(AVERAGEIFS('Input - Technical'!$F$3:$F$50,'Input - Technical'!$G$3:$G$50,"Over 6 years",'Input - Technical'!$H$3:$H$50,"M",'Input - Technical'!$I$3:$I$50,"VIC"),0)</f>
        <v>0</v>
      </c>
      <c r="L33" s="20">
        <f>IFERROR(_xlfn.MINIFS('Input - Technical'!$F$3:$F$50,'Input - Technical'!$G$3:$G$50,"Over 6 years",'Input - Technical'!$H$3:$H$50,"M",'Input - Technical'!$I$3:$I$50,"VIC"),0)</f>
        <v>0</v>
      </c>
      <c r="M33" s="21">
        <f>IFERROR(_xlfn.MAXIFS('Input - Technical'!$F$3:$F$50,'Input - Technical'!$G$3:$G$50,"Over 6 years",'Input - Technical'!$H$3:$H$50,"M",'Input - Technical'!$I$3:$I$50,"VIC"),0)</f>
        <v>0</v>
      </c>
      <c r="N33" s="10">
        <f>COUNTIFS('Input - Technical'!$G$3:$G$50,"Over 6 years",'Input - Technical'!$H$3:$H$50,"M",'Input - Technical'!$I$3:$I$50,"SA")</f>
        <v>0</v>
      </c>
      <c r="O33" s="12">
        <f>IFERROR(AVERAGEIFS('Input - Technical'!$F$3:$F$50,'Input - Technical'!$G$3:$G$50,"Over 6 years",'Input - Technical'!$H$3:$H$50,"M",'Input - Technical'!$I$3:$I$50,"SA"),0)</f>
        <v>0</v>
      </c>
      <c r="P33" s="12">
        <f>IFERROR(_xlfn.MINIFS('Input - Technical'!$F$3:$F$50,'Input - Technical'!$G$3:$G$50,"Over 6 years",'Input - Technical'!$H$3:$H$50,"M",'Input - Technical'!$I$3:$I$50,"SA"),0)</f>
        <v>0</v>
      </c>
      <c r="Q33" s="15">
        <f>IFERROR(_xlfn.MAXIFS('Input - Technical'!$F$3:$F$50,'Input - Technical'!$G$3:$G$50,"Over 6 years",'Input - Technical'!$H$3:$H$50,"M",'Input - Technical'!$I$3:$I$50,"SA"),0)</f>
        <v>0</v>
      </c>
      <c r="R33" s="19">
        <f>COUNTIFS('Input - Technical'!$G$3:$G$50,"Over 6 years",'Input - Technical'!$H$3:$H$50,"M",'Input - Technical'!$I$3:$I$50,"WA")</f>
        <v>0</v>
      </c>
      <c r="S33" s="20">
        <f>IFERROR(AVERAGEIFS('Input - Technical'!$F$3:$F$50,'Input - Technical'!$G$3:$G$50,"Over 6 years",'Input - Technical'!$H$3:$H$50,"M",'Input - Technical'!$I$3:$I$50,"WA"),0)</f>
        <v>0</v>
      </c>
      <c r="T33" s="20">
        <f>IFERROR(_xlfn.MINIFS('Input - Technical'!$F$3:$F$50,'Input - Technical'!$G$3:$G$50,"Over 6 years",'Input - Technical'!$H$3:$H$50,"M",'Input - Technical'!$I$3:$I$50,"WA"),0)</f>
        <v>0</v>
      </c>
      <c r="U33" s="21">
        <f>IFERROR(_xlfn.MAXIFS('Input - Technical'!$F$3:$F$50,'Input - Technical'!$G$3:$G$50,"Over 6 years",'Input - Technical'!$H$3:$H$50,"M",'Input - Technical'!$I$3:$I$50,"WA"),0)</f>
        <v>0</v>
      </c>
      <c r="V33" s="10">
        <f>COUNTIFS('Input - Technical'!$G$3:$G$50,"Over 6 years",'Input - Technical'!$H$3:$H$50,"M",'Input - Technical'!$I$3:$I$50,"TAS")</f>
        <v>0</v>
      </c>
      <c r="W33" s="12">
        <f>IFERROR(AVERAGEIFS('Input - Technical'!$F$3:$F$50,'Input - Technical'!$G$3:$G$50,"Over 6 years",'Input - Technical'!$H$3:$H$50,"M",'Input - Technical'!$I$3:$I$50,"TAS"),0)</f>
        <v>0</v>
      </c>
      <c r="X33" s="12">
        <f>IFERROR(_xlfn.MINIFS('Input - Technical'!$F$3:$F$50,'Input - Technical'!$G$3:$G$50,"Over 6 years",'Input - Technical'!$H$3:$H$50,"M",'Input - Technical'!$I$3:$I$50,"TAS"),0)</f>
        <v>0</v>
      </c>
      <c r="Y33" s="15">
        <f>IFERROR(_xlfn.MAXIFS('Input - Technical'!$F$3:$F$50,'Input - Technical'!$G$3:$G$50,"Over 6 years",'Input - Technical'!$H$3:$H$50,"M",'Input - Technical'!$I$3:$I$50,"TAS"),0)</f>
        <v>0</v>
      </c>
      <c r="Z33" s="19">
        <f>COUNTIFS('Input - Technical'!$G$3:$G$50,"Over 6 years",'Input - Technical'!$H$3:$H$50,"M",'Input - Technical'!$I$3:$I$50,"NT")</f>
        <v>0</v>
      </c>
      <c r="AA33" s="20">
        <f>IFERROR(AVERAGEIFS('Input - Technical'!$F$3:$F$50,'Input - Technical'!$G$3:$G$50,"Over 6 years",'Input - Technical'!$H$3:$H$50,"M",'Input - Technical'!$I$3:$I$50,"NT"),0)</f>
        <v>0</v>
      </c>
      <c r="AB33" s="20">
        <f>IFERROR(_xlfn.MINIFS('Input - Technical'!$F$3:$F$50,'Input - Technical'!$G$3:$G$50,"Over 6 years",'Input - Technical'!$H$3:$H$50,"M",'Input - Technical'!$I$3:$I$50,"NT"),0)</f>
        <v>0</v>
      </c>
      <c r="AC33" s="21">
        <f>IFERROR(_xlfn.MAXIFS('Input - Technical'!$F$3:$F$50,'Input - Technical'!$G$3:$G$50,"Over 6 years",'Input - Technical'!$H$3:$H$50,"M",'Input - Technical'!$I$3:$I$50,"NT"),0)</f>
        <v>0</v>
      </c>
      <c r="AD33" s="10">
        <f>COUNTIFS('Input - Technical'!$G$3:$G$50,"Over 6 years",'Input - Technical'!$H$3:$H$50,"M",'Input - Technical'!$I$3:$I$50,"ACT")</f>
        <v>0</v>
      </c>
      <c r="AE33" s="12">
        <f>IFERROR(AVERAGEIFS('Input - Technical'!$F$3:$F$50,'Input - Technical'!$G$3:$G$50,"Over 6 years",'Input - Technical'!$H$3:$H$50,"M",'Input - Technical'!$I$3:$I$50,"ACT"),0)</f>
        <v>0</v>
      </c>
      <c r="AF33" s="12">
        <f>IFERROR(_xlfn.MINIFS('Input - Technical'!$F$3:$F$50,'Input - Technical'!$G$3:$G$50,"Over 6 years",'Input - Technical'!$H$3:$H$50,"M",'Input - Technical'!$I$3:$I$50,"ACT"),0)</f>
        <v>0</v>
      </c>
      <c r="AG33" s="15">
        <f>IFERROR(_xlfn.MAXIFS('Input - Technical'!$F$3:$F$50,'Input - Technical'!$G$3:$G$50,"Over 6 years",'Input - Technical'!$H$3:$H$50,"M",'Input - Technical'!$I$3:$I$50,"ACT"),0)</f>
        <v>0</v>
      </c>
    </row>
    <row r="34" spans="1:33" x14ac:dyDescent="0.35">
      <c r="A34" s="11" t="s">
        <v>88</v>
      </c>
      <c r="B34" s="19">
        <f>COUNTIFS('Input - Technical'!$G$3:$G$50,"Over  6 years",'Input - Technical'!$H$3:$H$50,"F",'Input - Technical'!$I$3:$I$50,"QLD")</f>
        <v>0</v>
      </c>
      <c r="C34" s="20">
        <f>IFERROR(AVERAGEIFS('Input - Technical'!$F$3:$F$50,'Input - Technical'!$G$3:$G$50,"Over 6 years",'Input - Technical'!$H$3:$H$50,"F",'Input - Technical'!$I$3:$I$50,"QLD"),0)</f>
        <v>0</v>
      </c>
      <c r="D34" s="20">
        <f>IFERROR(_xlfn.MINIFS('Input - Technical'!$F$3:$F$50,'Input - Technical'!$G$3:$G$50,"Over 6 years",'Input - Technical'!$H$3:$H$50,"F",'Input - Technical'!$I$3:$I$50,"QLD"),0)</f>
        <v>0</v>
      </c>
      <c r="E34" s="21">
        <f>IFERROR(_xlfn.MAXIFS('Input - Technical'!$F$3:$F$50,'Input - Technical'!$G$3:$G$50,"Over 6 years",'Input - Technical'!$H$3:$H$50,"F",'Input - Technical'!$I$3:$I$50,"QLD"),0)</f>
        <v>0</v>
      </c>
      <c r="F34" s="10">
        <f>COUNTIFS('Input - Technical'!$G$3:$G$50,"Over  6 years",'Input - Technical'!$H$3:$H$50,"F",'Input - Technical'!$I$3:$I$50,"NSW")</f>
        <v>0</v>
      </c>
      <c r="G34" s="12">
        <f>IFERROR(AVERAGEIFS('Input - Technical'!$F$3:$F$50,'Input - Technical'!$G$3:$G$50,"Over 6 years",'Input - Technical'!$H$3:$H$50,"F",'Input - Technical'!$I$3:$I$50,"NSW"),0)</f>
        <v>0</v>
      </c>
      <c r="H34" s="12">
        <f>IFERROR(_xlfn.MINIFS('Input - Technical'!$F$3:$F$50,'Input - Technical'!$G$3:$G$50,"Over 6 years",'Input - Technical'!$H$3:$H$50,"F",'Input - Technical'!$I$3:$I$50,"NSW"),0)</f>
        <v>0</v>
      </c>
      <c r="I34" s="15">
        <f>IFERROR(_xlfn.MAXIFS('Input - Technical'!$F$3:$F$50,'Input - Technical'!$G$3:$G$50,"Over 6 years",'Input - Technical'!$H$3:$H$50,"F",'Input - Technical'!$I$3:$I$50,"NSW"),0)</f>
        <v>0</v>
      </c>
      <c r="J34" s="19">
        <f>COUNTIFS('Input - Technical'!$G$3:$G$50,"Over  6 years",'Input - Technical'!$H$3:$H$50,"F",'Input - Technical'!$I$3:$I$50,"VIC")</f>
        <v>0</v>
      </c>
      <c r="K34" s="20">
        <f>IFERROR(AVERAGEIFS('Input - Technical'!$F$3:$F$50,'Input - Technical'!$G$3:$G$50,"Over 6 years",'Input - Technical'!$H$3:$H$50,"F",'Input - Technical'!$I$3:$I$50,"VIC"),0)</f>
        <v>0</v>
      </c>
      <c r="L34" s="20">
        <f>IFERROR(_xlfn.MINIFS('Input - Technical'!$F$3:$F$50,'Input - Technical'!$G$3:$G$50,"Over 6 years",'Input - Technical'!$H$3:$H$50,"F",'Input - Technical'!$I$3:$I$50,"VIC"),0)</f>
        <v>0</v>
      </c>
      <c r="M34" s="21">
        <f>IFERROR(_xlfn.MAXIFS('Input - Technical'!$F$3:$F$50,'Input - Technical'!$G$3:$G$50,"Over 6 years",'Input - Technical'!$H$3:$H$50,"F",'Input - Technical'!$I$3:$I$50,"VIC"),0)</f>
        <v>0</v>
      </c>
      <c r="N34" s="10">
        <f>COUNTIFS('Input - Technical'!$G$3:$G$50,"Over  6 years",'Input - Technical'!$H$3:$H$50,"F",'Input - Technical'!$I$3:$I$50,"SA")</f>
        <v>0</v>
      </c>
      <c r="O34" s="12">
        <f>IFERROR(AVERAGEIFS('Input - Technical'!$F$3:$F$50,'Input - Technical'!$G$3:$G$50,"Over 6 years",'Input - Technical'!$H$3:$H$50,"F",'Input - Technical'!$I$3:$I$50,"SA"),0)</f>
        <v>0</v>
      </c>
      <c r="P34" s="12">
        <f>IFERROR(_xlfn.MINIFS('Input - Technical'!$F$3:$F$50,'Input - Technical'!$G$3:$G$50,"Over 6 years",'Input - Technical'!$H$3:$H$50,"F",'Input - Technical'!$I$3:$I$50,"SA"),0)</f>
        <v>0</v>
      </c>
      <c r="Q34" s="15">
        <f>IFERROR(_xlfn.MAXIFS('Input - Technical'!$F$3:$F$50,'Input - Technical'!$G$3:$G$50,"Over 6 years",'Input - Technical'!$H$3:$H$50,"F",'Input - Technical'!$I$3:$I$50,"SA"),0)</f>
        <v>0</v>
      </c>
      <c r="R34" s="19">
        <f>COUNTIFS('Input - Technical'!$G$3:$G$50,"Over  6 years",'Input - Technical'!$H$3:$H$50,"F",'Input - Technical'!$I$3:$I$50,"WA")</f>
        <v>0</v>
      </c>
      <c r="S34" s="20">
        <f>IFERROR(AVERAGEIFS('Input - Technical'!$F$3:$F$50,'Input - Technical'!$G$3:$G$50,"Over 6 years",'Input - Technical'!$H$3:$H$50,"F",'Input - Technical'!$I$3:$I$50,"WA"),0)</f>
        <v>0</v>
      </c>
      <c r="T34" s="20">
        <f>IFERROR(_xlfn.MINIFS('Input - Technical'!$F$3:$F$50,'Input - Technical'!$G$3:$G$50,"Over 6 years",'Input - Technical'!$H$3:$H$50,"F",'Input - Technical'!$I$3:$I$50,"WA"),0)</f>
        <v>0</v>
      </c>
      <c r="U34" s="21">
        <f>IFERROR(_xlfn.MAXIFS('Input - Technical'!$F$3:$F$50,'Input - Technical'!$G$3:$G$50,"Over 6 years",'Input - Technical'!$H$3:$H$50,"F",'Input - Technical'!$I$3:$I$50,"WA"),0)</f>
        <v>0</v>
      </c>
      <c r="V34" s="10">
        <f>COUNTIFS('Input - Technical'!$G$3:$G$50,"Over  6 years",'Input - Technical'!$H$3:$H$50,"F",'Input - Technical'!$I$3:$I$50,"TAS")</f>
        <v>0</v>
      </c>
      <c r="W34" s="12">
        <f>IFERROR(AVERAGEIFS('Input - Technical'!$F$3:$F$50,'Input - Technical'!$G$3:$G$50,"Over 6 years",'Input - Technical'!$H$3:$H$50,"F",'Input - Technical'!$I$3:$I$50,"TAS"),0)</f>
        <v>0</v>
      </c>
      <c r="X34" s="12">
        <f>IFERROR(_xlfn.MINIFS('Input - Technical'!$F$3:$F$50,'Input - Technical'!$G$3:$G$50,"Over 6 years",'Input - Technical'!$H$3:$H$50,"F",'Input - Technical'!$I$3:$I$50,"TAS"),0)</f>
        <v>0</v>
      </c>
      <c r="Y34" s="15">
        <f>IFERROR(_xlfn.MAXIFS('Input - Technical'!$F$3:$F$50,'Input - Technical'!$G$3:$G$50,"Over 6 years",'Input - Technical'!$H$3:$H$50,"F",'Input - Technical'!$I$3:$I$50,"TAS"),0)</f>
        <v>0</v>
      </c>
      <c r="Z34" s="19">
        <f>COUNTIFS('Input - Technical'!$G$3:$G$50,"Over  6 years",'Input - Technical'!$H$3:$H$50,"F",'Input - Technical'!$I$3:$I$50,"NT")</f>
        <v>0</v>
      </c>
      <c r="AA34" s="20">
        <f>IFERROR(AVERAGEIFS('Input - Technical'!$F$3:$F$50,'Input - Technical'!$G$3:$G$50,"Over 6 years",'Input - Technical'!$H$3:$H$50,"F",'Input - Technical'!$I$3:$I$50,"NT"),0)</f>
        <v>0</v>
      </c>
      <c r="AB34" s="20">
        <f>IFERROR(_xlfn.MINIFS('Input - Technical'!$F$3:$F$50,'Input - Technical'!$G$3:$G$50,"Over 6 years",'Input - Technical'!$H$3:$H$50,"F",'Input - Technical'!$I$3:$I$50,"NT"),0)</f>
        <v>0</v>
      </c>
      <c r="AC34" s="21">
        <f>IFERROR(_xlfn.MAXIFS('Input - Technical'!$F$3:$F$50,'Input - Technical'!$G$3:$G$50,"Over 6 years",'Input - Technical'!$H$3:$H$50,"F",'Input - Technical'!$I$3:$I$50,"NT"),0)</f>
        <v>0</v>
      </c>
      <c r="AD34" s="10">
        <f>COUNTIFS('Input - Technical'!$G$3:$G$50,"Over  6 years",'Input - Technical'!$H$3:$H$50,"F",'Input - Technical'!$I$3:$I$50,"ACT")</f>
        <v>0</v>
      </c>
      <c r="AE34" s="12">
        <f>IFERROR(AVERAGEIFS('Input - Technical'!$F$3:$F$50,'Input - Technical'!$G$3:$G$50,"Over 6 years",'Input - Technical'!$H$3:$H$50,"F",'Input - Technical'!$I$3:$I$50,"ACT"),0)</f>
        <v>0</v>
      </c>
      <c r="AF34" s="12">
        <f>IFERROR(_xlfn.MINIFS('Input - Technical'!$F$3:$F$50,'Input - Technical'!$G$3:$G$50,"Over 6 years",'Input - Technical'!$H$3:$H$50,"F",'Input - Technical'!$I$3:$I$50,"ACT"),0)</f>
        <v>0</v>
      </c>
      <c r="AG34" s="15">
        <f>IFERROR(_xlfn.MAXIFS('Input - Technical'!$F$3:$F$50,'Input - Technical'!$G$3:$G$50,"Over 6 years",'Input - Technical'!$H$3:$H$50,"F",'Input - Technical'!$I$3:$I$50,"ACT"),0)</f>
        <v>0</v>
      </c>
    </row>
    <row r="35" spans="1:33" x14ac:dyDescent="0.35">
      <c r="A35" s="11" t="s">
        <v>89</v>
      </c>
      <c r="B35" s="19">
        <f>COUNTIFS('Input - Technical'!$G$3:$G$50,"BIM Modeller",'Input - Technical'!$H$3:$H$50,"M",'Input - Technical'!$I$3:$I$50,"QLD")</f>
        <v>0</v>
      </c>
      <c r="C35" s="20">
        <f>IFERROR(AVERAGEIFS('Input - Technical'!$F$3:$F$50,'Input - Technical'!$G$3:$G$50,"BIM Modeller",'Input - Technical'!$H$3:$H$50,"M",'Input - Technical'!$I$3:$I$50,"QLD"),0)</f>
        <v>0</v>
      </c>
      <c r="D35" s="20">
        <f>IFERROR(_xlfn.MINIFS('Input - Technical'!$F$3:$F$50,'Input - Technical'!$G$3:$G$50,"BIM Modeller",'Input - Technical'!$H$3:$H$50,"M",'Input - Technical'!$I$3:$I$50,"QLD"),0)</f>
        <v>0</v>
      </c>
      <c r="E35" s="21">
        <f>IFERROR(_xlfn.MAXIFS('Input - Technical'!$F$3:$F$50,'Input - Technical'!$G$3:$G$50,"BIM Modeller",'Input - Technical'!$H$3:$H$50,"M",'Input - Technical'!$I$3:$I$50,"QLD"),0)</f>
        <v>0</v>
      </c>
      <c r="F35" s="10">
        <f>COUNTIFS('Input - Technical'!$G$3:$G$50,"BIM Modeller",'Input - Technical'!$H$3:$H$50,"M",'Input - Technical'!$I$3:$I$50,"NSW")</f>
        <v>0</v>
      </c>
      <c r="G35" s="12">
        <f>IFERROR(AVERAGEIFS('Input - Technical'!$F$3:$F$50,'Input - Technical'!$G$3:$G$50,"BIM Modeller",'Input - Technical'!$H$3:$H$50,"M",'Input - Technical'!$I$3:$I$50,"NSW"),0)</f>
        <v>0</v>
      </c>
      <c r="H35" s="12">
        <f>IFERROR(_xlfn.MINIFS('Input - Technical'!$F$3:$F$50,'Input - Technical'!$G$3:$G$50,"BIM Modeller",'Input - Technical'!$H$3:$H$50,"M",'Input - Technical'!$I$3:$I$50,"NSW"),0)</f>
        <v>0</v>
      </c>
      <c r="I35" s="15">
        <f>IFERROR(_xlfn.MAXIFS('Input - Technical'!$F$3:$F$50,'Input - Technical'!$G$3:$G$50,"BIM Modeller",'Input - Technical'!$H$3:$H$50,"M",'Input - Technical'!$I$3:$I$50,"NSW"),0)</f>
        <v>0</v>
      </c>
      <c r="J35" s="19">
        <f>COUNTIFS('Input - Technical'!$G$3:$G$50,"BIM Modeller",'Input - Technical'!$H$3:$H$50,"M",'Input - Technical'!$I$3:$I$50,"VIC")</f>
        <v>0</v>
      </c>
      <c r="K35" s="20">
        <f>IFERROR(AVERAGEIFS('Input - Technical'!$F$3:$F$50,'Input - Technical'!$G$3:$G$50,"BIM Modeller",'Input - Technical'!$H$3:$H$50,"M",'Input - Technical'!$I$3:$I$50,"VIC"),0)</f>
        <v>0</v>
      </c>
      <c r="L35" s="20">
        <f>IFERROR(_xlfn.MINIFS('Input - Technical'!$F$3:$F$50,'Input - Technical'!$G$3:$G$50,"BIM Modeller",'Input - Technical'!$H$3:$H$50,"M",'Input - Technical'!$I$3:$I$50,"VIC"),0)</f>
        <v>0</v>
      </c>
      <c r="M35" s="21">
        <f>IFERROR(_xlfn.MAXIFS('Input - Technical'!$F$3:$F$50,'Input - Technical'!$G$3:$G$50,"BIM Modeller",'Input - Technical'!$H$3:$H$50,"M",'Input - Technical'!$I$3:$I$50,"VIC"),0)</f>
        <v>0</v>
      </c>
      <c r="N35" s="10">
        <f>COUNTIFS('Input - Technical'!$G$3:$G$50,"BIM Modeller",'Input - Technical'!$H$3:$H$50,"M",'Input - Technical'!$I$3:$I$50,"SA")</f>
        <v>0</v>
      </c>
      <c r="O35" s="12">
        <f>IFERROR(AVERAGEIFS('Input - Technical'!$F$3:$F$50,'Input - Technical'!$G$3:$G$50,"BIM Modeller",'Input - Technical'!$H$3:$H$50,"M",'Input - Technical'!$I$3:$I$50,"SA"),0)</f>
        <v>0</v>
      </c>
      <c r="P35" s="12">
        <f>IFERROR(_xlfn.MINIFS('Input - Technical'!$F$3:$F$50,'Input - Technical'!$G$3:$G$50,"BIM Modeller",'Input - Technical'!$H$3:$H$50,"M",'Input - Technical'!$I$3:$I$50,"SA"),0)</f>
        <v>0</v>
      </c>
      <c r="Q35" s="15">
        <f>IFERROR(_xlfn.MAXIFS('Input - Technical'!$F$3:$F$50,'Input - Technical'!$G$3:$G$50,"BIM Modeller",'Input - Technical'!$H$3:$H$50,"M",'Input - Technical'!$I$3:$I$50,"SA"),0)</f>
        <v>0</v>
      </c>
      <c r="R35" s="19">
        <f>COUNTIFS('Input - Technical'!$G$3:$G$50,"BIM Modeller",'Input - Technical'!$H$3:$H$50,"M",'Input - Technical'!$I$3:$I$50,"WA")</f>
        <v>0</v>
      </c>
      <c r="S35" s="20">
        <f>IFERROR(AVERAGEIFS('Input - Technical'!$F$3:$F$50,'Input - Technical'!$G$3:$G$50,"BIM Modeller",'Input - Technical'!$H$3:$H$50,"M",'Input - Technical'!$I$3:$I$50,"WA"),0)</f>
        <v>0</v>
      </c>
      <c r="T35" s="20">
        <f>IFERROR(_xlfn.MINIFS('Input - Technical'!$F$3:$F$50,'Input - Technical'!$G$3:$G$50,"BIM Modeller",'Input - Technical'!$H$3:$H$50,"M",'Input - Technical'!$I$3:$I$50,"WA"),0)</f>
        <v>0</v>
      </c>
      <c r="U35" s="21">
        <f>IFERROR(_xlfn.MAXIFS('Input - Technical'!$F$3:$F$50,'Input - Technical'!$G$3:$G$50,"BIM Modeller",'Input - Technical'!$H$3:$H$50,"M",'Input - Technical'!$I$3:$I$50,"WA"),0)</f>
        <v>0</v>
      </c>
      <c r="V35" s="10">
        <f>COUNTIFS('Input - Technical'!$G$3:$G$50,"BIM Modeller",'Input - Technical'!$H$3:$H$50,"M",'Input - Technical'!$I$3:$I$50,"TAS")</f>
        <v>0</v>
      </c>
      <c r="W35" s="12">
        <f>IFERROR(AVERAGEIFS('Input - Technical'!$F$3:$F$50,'Input - Technical'!$G$3:$G$50,"BIM Modeller",'Input - Technical'!$H$3:$H$50,"M",'Input - Technical'!$I$3:$I$50,"TAS"),0)</f>
        <v>0</v>
      </c>
      <c r="X35" s="12">
        <f>IFERROR(_xlfn.MINIFS('Input - Technical'!$F$3:$F$50,'Input - Technical'!$G$3:$G$50,"BIM Modeller",'Input - Technical'!$H$3:$H$50,"M",'Input - Technical'!$I$3:$I$50,"TAS"),0)</f>
        <v>0</v>
      </c>
      <c r="Y35" s="15">
        <f>IFERROR(_xlfn.MAXIFS('Input - Technical'!$F$3:$F$50,'Input - Technical'!$G$3:$G$50,"BIM Modeller",'Input - Technical'!$H$3:$H$50,"M",'Input - Technical'!$I$3:$I$50,"TAS"),0)</f>
        <v>0</v>
      </c>
      <c r="Z35" s="19">
        <f>COUNTIFS('Input - Technical'!$G$3:$G$50,"BIM Modeller",'Input - Technical'!$H$3:$H$50,"M",'Input - Technical'!$I$3:$I$50,"NT")</f>
        <v>0</v>
      </c>
      <c r="AA35" s="20">
        <f>IFERROR(AVERAGEIFS('Input - Technical'!$F$3:$F$50,'Input - Technical'!$G$3:$G$50,"BIM Modeller",'Input - Technical'!$H$3:$H$50,"M",'Input - Technical'!$I$3:$I$50,"NT"),0)</f>
        <v>0</v>
      </c>
      <c r="AB35" s="20">
        <f>IFERROR(_xlfn.MINIFS('Input - Technical'!$F$3:$F$50,'Input - Technical'!$G$3:$G$50,"BIM Modeller",'Input - Technical'!$H$3:$H$50,"M",'Input - Technical'!$I$3:$I$50,"NT"),0)</f>
        <v>0</v>
      </c>
      <c r="AC35" s="21">
        <f>IFERROR(_xlfn.MAXIFS('Input - Technical'!$F$3:$F$50,'Input - Technical'!$G$3:$G$50,"BIM Modeller",'Input - Technical'!$H$3:$H$50,"M",'Input - Technical'!$I$3:$I$50,"NT"),0)</f>
        <v>0</v>
      </c>
      <c r="AD35" s="10">
        <f>COUNTIFS('Input - Technical'!$G$3:$G$50,"BIM Modeller",'Input - Technical'!$H$3:$H$50,"M",'Input - Technical'!$I$3:$I$50,"ACT")</f>
        <v>0</v>
      </c>
      <c r="AE35" s="12">
        <f>IFERROR(AVERAGEIFS('Input - Technical'!$F$3:$F$50,'Input - Technical'!$G$3:$G$50,"BIM Modeller",'Input - Technical'!$H$3:$H$50,"M",'Input - Technical'!$I$3:$I$50,"ACT"),0)</f>
        <v>0</v>
      </c>
      <c r="AF35" s="12">
        <f>IFERROR(_xlfn.MINIFS('Input - Technical'!$F$3:$F$50,'Input - Technical'!$G$3:$G$50,"BIM Modeller",'Input - Technical'!$H$3:$H$50,"M",'Input - Technical'!$I$3:$I$50,"ACT"),0)</f>
        <v>0</v>
      </c>
      <c r="AG35" s="15">
        <f>IFERROR(_xlfn.MAXIFS('Input - Technical'!$F$3:$F$50,'Input - Technical'!$G$3:$G$50,"BIM Modeller",'Input - Technical'!$H$3:$H$50,"M",'Input - Technical'!$I$3:$I$50,"ACT"),0)</f>
        <v>0</v>
      </c>
    </row>
    <row r="36" spans="1:33" x14ac:dyDescent="0.35">
      <c r="A36" s="11" t="s">
        <v>90</v>
      </c>
      <c r="B36" s="19">
        <f>COUNTIFS('Input - Technical'!$G$3:$G$50,"BIM Modeller",'Input - Technical'!$H$3:$H$50,"F",'Input - Technical'!$I$3:$I$50,"QLD")</f>
        <v>0</v>
      </c>
      <c r="C36" s="20">
        <f>IFERROR(AVERAGEIFS('Input - Technical'!$F$3:$F$50,'Input - Technical'!$G$3:$G$50,"BIM Modeller",'Input - Technical'!$H$3:$H$50,"F",'Input - Technical'!$I$3:$I$50,"QLD"),0)</f>
        <v>0</v>
      </c>
      <c r="D36" s="20">
        <f>IFERROR(_xlfn.MINIFS('Input - Technical'!$F$3:$F$50,'Input - Technical'!$G$3:$G$50,"BIM Modeller",'Input - Technical'!$H$3:$H$50,"F",'Input - Technical'!$I$3:$I$50,"QLD"),0)</f>
        <v>0</v>
      </c>
      <c r="E36" s="21">
        <f>IFERROR(_xlfn.MAXIFS('Input - Technical'!$F$3:$F$50,'Input - Technical'!$G$3:$G$50,"BIM Modeller",'Input - Technical'!$H$3:$H$50,"F",'Input - Technical'!$I$3:$I$50,"QLD"),0)</f>
        <v>0</v>
      </c>
      <c r="F36" s="10">
        <f>COUNTIFS('Input - Technical'!$G$3:$G$50,"BIM Modeller",'Input - Technical'!$H$3:$H$50,"F",'Input - Technical'!$I$3:$I$50,"NSW")</f>
        <v>0</v>
      </c>
      <c r="G36" s="12">
        <f>IFERROR(AVERAGEIFS('Input - Technical'!$F$3:$F$50,'Input - Technical'!$G$3:$G$50,"BIM Modeller",'Input - Technical'!$H$3:$H$50,"F",'Input - Technical'!$I$3:$I$50,"NSW"),0)</f>
        <v>0</v>
      </c>
      <c r="H36" s="12">
        <f>IFERROR(_xlfn.MINIFS('Input - Technical'!$F$3:$F$50,'Input - Technical'!$G$3:$G$50,"BIM Modeller",'Input - Technical'!$H$3:$H$50,"F",'Input - Technical'!$I$3:$I$50,"NSW"),0)</f>
        <v>0</v>
      </c>
      <c r="I36" s="15">
        <f>IFERROR(_xlfn.MAXIFS('Input - Technical'!$F$3:$F$50,'Input - Technical'!$G$3:$G$50,"BIM Modeller",'Input - Technical'!$H$3:$H$50,"F",'Input - Technical'!$I$3:$I$50,"NSW"),0)</f>
        <v>0</v>
      </c>
      <c r="J36" s="19">
        <f>COUNTIFS('Input - Technical'!$G$3:$G$50,"BIM Modeller",'Input - Technical'!$H$3:$H$50,"F",'Input - Technical'!$I$3:$I$50,"VIC")</f>
        <v>0</v>
      </c>
      <c r="K36" s="20">
        <f>IFERROR(AVERAGEIFS('Input - Technical'!$F$3:$F$50,'Input - Technical'!$G$3:$G$50,"BIM Modeller",'Input - Technical'!$H$3:$H$50,"F",'Input - Technical'!$I$3:$I$50,"NSW"),0)</f>
        <v>0</v>
      </c>
      <c r="L36" s="20">
        <f>IFERROR(_xlfn.MINIFS('Input - Technical'!$F$3:$F$50,'Input - Technical'!$G$3:$G$50,"BIM Modeller",'Input - Technical'!$H$3:$H$50,"F",'Input - Technical'!$I$3:$I$50,"VIC"),0)</f>
        <v>0</v>
      </c>
      <c r="M36" s="21">
        <f>IFERROR(_xlfn.MAXIFS('Input - Technical'!$F$3:$F$50,'Input - Technical'!$G$3:$G$50,"BIM Modeller",'Input - Technical'!$H$3:$H$50,"F",'Input - Technical'!$I$3:$I$50,"VIC"),0)</f>
        <v>0</v>
      </c>
      <c r="N36" s="10">
        <f>COUNTIFS('Input - Technical'!$G$3:$G$50,"BIM Modeller",'Input - Technical'!$H$3:$H$50,"F",'Input - Technical'!$I$3:$I$50,"SA")</f>
        <v>0</v>
      </c>
      <c r="O36" s="12">
        <f>IFERROR(AVERAGEIFS('Input - Technical'!$F$3:$F$50,'Input - Technical'!$G$3:$G$50,"BIM Modeller",'Input - Technical'!$H$3:$H$50,"F",'Input - Technical'!$I$3:$I$50,"SA"),0)</f>
        <v>0</v>
      </c>
      <c r="P36" s="12">
        <f>IFERROR(_xlfn.MINIFS('Input - Technical'!$F$3:$F$50,'Input - Technical'!$G$3:$G$50,"BIM Modeller",'Input - Technical'!$H$3:$H$50,"F",'Input - Technical'!$I$3:$I$50,"SA"),0)</f>
        <v>0</v>
      </c>
      <c r="Q36" s="15">
        <f>IFERROR(_xlfn.MAXIFS('Input - Technical'!$F$3:$F$50,'Input - Technical'!$G$3:$G$50,"BIM Modeller",'Input - Technical'!$H$3:$H$50,"F",'Input - Technical'!$I$3:$I$50,"SA"),0)</f>
        <v>0</v>
      </c>
      <c r="R36" s="19">
        <f>COUNTIFS('Input - Technical'!$G$3:$G$50,"BIM Modeller",'Input - Technical'!$H$3:$H$50,"F",'Input - Technical'!$I$3:$I$50,"WA")</f>
        <v>0</v>
      </c>
      <c r="S36" s="20">
        <f>IFERROR(AVERAGEIFS('Input - Technical'!$F$3:$F$50,'Input - Technical'!$G$3:$G$50,"BIM Modeller",'Input - Technical'!$H$3:$H$50,"F",'Input - Technical'!$I$3:$I$50,"WA"),0)</f>
        <v>0</v>
      </c>
      <c r="T36" s="20">
        <f>IFERROR(_xlfn.MINIFS('Input - Technical'!$F$3:$F$50,'Input - Technical'!$G$3:$G$50,"BIM Modeller",'Input - Technical'!$H$3:$H$50,"F",'Input - Technical'!$I$3:$I$50,"WA"),0)</f>
        <v>0</v>
      </c>
      <c r="U36" s="21">
        <f>IFERROR(_xlfn.MAXIFS('Input - Technical'!$F$3:$F$50,'Input - Technical'!$G$3:$G$50,"BIM Modeller",'Input - Technical'!$H$3:$H$50,"F",'Input - Technical'!$I$3:$I$50,"WA"),0)</f>
        <v>0</v>
      </c>
      <c r="V36" s="10">
        <f>COUNTIFS('Input - Technical'!$G$3:$G$50,"BIM Modeller",'Input - Technical'!$H$3:$H$50,"F",'Input - Technical'!$I$3:$I$50,"TAS")</f>
        <v>0</v>
      </c>
      <c r="W36" s="12">
        <f>IFERROR(AVERAGEIFS('Input - Technical'!$F$3:$F$50,'Input - Technical'!$G$3:$G$50,"BIM Modeller",'Input - Technical'!$H$3:$H$50,"F",'Input - Technical'!$I$3:$I$50,"TAS"),0)</f>
        <v>0</v>
      </c>
      <c r="X36" s="12">
        <f>IFERROR(_xlfn.MINIFS('Input - Technical'!$F$3:$F$50,'Input - Technical'!$G$3:$G$50,"BIM Modeller",'Input - Technical'!$H$3:$H$50,"F",'Input - Technical'!$I$3:$I$50,"TAS"),0)</f>
        <v>0</v>
      </c>
      <c r="Y36" s="15">
        <f>IFERROR(_xlfn.MAXIFS('Input - Technical'!$F$3:$F$50,'Input - Technical'!$G$3:$G$50,"BIM Modeller",'Input - Technical'!$H$3:$H$50,"F",'Input - Technical'!$I$3:$I$50,"TAS"),0)</f>
        <v>0</v>
      </c>
      <c r="Z36" s="19">
        <f>COUNTIFS('Input - Technical'!$G$3:$G$50,"BIM Modeller",'Input - Technical'!$H$3:$H$50,"F",'Input - Technical'!$I$3:$I$50,"NT")</f>
        <v>0</v>
      </c>
      <c r="AA36" s="20">
        <f>IFERROR(AVERAGEIFS('Input - Technical'!$F$3:$F$50,'Input - Technical'!$G$3:$G$50,"BIM Modeller",'Input - Technical'!$H$3:$H$50,"F",'Input - Technical'!$I$3:$I$50,"NT"),0)</f>
        <v>0</v>
      </c>
      <c r="AB36" s="20">
        <f>IFERROR(_xlfn.MINIFS('Input - Technical'!$F$3:$F$50,'Input - Technical'!$G$3:$G$50,"BIM Modeller",'Input - Technical'!$H$3:$H$50,"F",'Input - Technical'!$I$3:$I$50,"NT"),0)</f>
        <v>0</v>
      </c>
      <c r="AC36" s="21">
        <f>IFERROR(_xlfn.MAXIFS('Input - Technical'!$F$3:$F$50,'Input - Technical'!$G$3:$G$50,"BIM Modeller",'Input - Technical'!$H$3:$H$50,"F",'Input - Technical'!$I$3:$I$50,"NT"),0)</f>
        <v>0</v>
      </c>
      <c r="AD36" s="10">
        <f>COUNTIFS('Input - Technical'!$G$3:$G$50,"BIM Modeller",'Input - Technical'!$H$3:$H$50,"F",'Input - Technical'!$I$3:$I$50,"ACT")</f>
        <v>0</v>
      </c>
      <c r="AE36" s="12">
        <f>IFERROR(AVERAGEIFS('Input - Technical'!$F$3:$F$50,'Input - Technical'!$G$3:$G$50,"BIM Modeller",'Input - Technical'!$H$3:$H$50,"F",'Input - Technical'!$I$3:$I$50,"ACT"),0)</f>
        <v>0</v>
      </c>
      <c r="AF36" s="12">
        <f>IFERROR(_xlfn.MINIFS('Input - Technical'!$F$3:$F$50,'Input - Technical'!$G$3:$G$50,"BIM Modeller",'Input - Technical'!$H$3:$H$50,"F",'Input - Technical'!$I$3:$I$50,"ACT"),0)</f>
        <v>0</v>
      </c>
      <c r="AG36" s="15">
        <f>IFERROR(_xlfn.MAXIFS('Input - Technical'!$F$3:$F$50,'Input - Technical'!$G$3:$G$50,"BIM Modeller",'Input - Technical'!$H$3:$H$50,"F",'Input - Technical'!$I$3:$I$50,"ACT"),0)</f>
        <v>0</v>
      </c>
    </row>
    <row r="37" spans="1:33" x14ac:dyDescent="0.35">
      <c r="A37" s="11" t="s">
        <v>91</v>
      </c>
      <c r="B37" s="19">
        <f>COUNTIFS('Input - Technical'!$G$3:$G$50,"BIM Manager",'Input - Technical'!$H$3:$H$50,"M",'Input - Technical'!$I$3:$I$50,"QLD")</f>
        <v>0</v>
      </c>
      <c r="C37" s="20">
        <f>IFERROR(AVERAGEIFS('Input - Technical'!$F$3:$F$50,'Input - Technical'!$G$3:$G$50,"BIM Manager",'Input - Technical'!$H$3:$H$50,"M",'Input - Technical'!$I$3:$I$50,"QLD"),0)</f>
        <v>0</v>
      </c>
      <c r="D37" s="20">
        <f>IFERROR(_xlfn.MINIFS('Input - Technical'!$F$3:$F$50,'Input - Technical'!$G$3:$G$50,"BIM Manager",'Input - Technical'!$H$3:$H$50,"M",'Input - Technical'!$I$3:$I$50,"QLD"),0)</f>
        <v>0</v>
      </c>
      <c r="E37" s="21">
        <f>IFERROR(_xlfn.MAXIFS('Input - Technical'!$F$3:$F$50,'Input - Technical'!$G$3:$G$50,"BIM Manager",'Input - Technical'!$H$3:$H$50,"M",'Input - Technical'!$I$3:$I$50,"QLD"),0)</f>
        <v>0</v>
      </c>
      <c r="F37" s="10">
        <f>COUNTIFS('Input - Technical'!$G$3:$G$50,"BIM Manager",'Input - Technical'!$H$3:$H$50,"M",'Input - Technical'!$I$3:$I$50,"NSW")</f>
        <v>0</v>
      </c>
      <c r="G37" s="12">
        <f>IFERROR(AVERAGEIFS('Input - Technical'!$F$3:$F$50,'Input - Technical'!$G$3:$G$50,"BIM Manager",'Input - Technical'!$H$3:$H$50,"M",'Input - Technical'!$I$3:$I$50,"NSW"),0)</f>
        <v>0</v>
      </c>
      <c r="H37" s="12">
        <f>IFERROR(_xlfn.MINIFS('Input - Technical'!$F$3:$F$50,'Input - Technical'!$G$3:$G$50,"BIM Manager",'Input - Technical'!$H$3:$H$50,"M",'Input - Technical'!$I$3:$I$50,"NSW"),0)</f>
        <v>0</v>
      </c>
      <c r="I37" s="15">
        <f>IFERROR(_xlfn.MAXIFS('Input - Technical'!$F$3:$F$50,'Input - Technical'!$G$3:$G$50,"BIM Manager",'Input - Technical'!$H$3:$H$50,"M",'Input - Technical'!$I$3:$I$50,"NSW"),0)</f>
        <v>0</v>
      </c>
      <c r="J37" s="19">
        <f>COUNTIFS('Input - Technical'!$G$3:$G$50,"BIM Manager",'Input - Technical'!$H$3:$H$50,"M",'Input - Technical'!$I$3:$I$50,"VIC")</f>
        <v>0</v>
      </c>
      <c r="K37" s="20">
        <f>IFERROR(AVERAGEIFS('Input - Technical'!$F$3:$F$50,'Input - Technical'!$G$3:$G$50,"BIM Manager",'Input - Technical'!$H$3:$H$50,"M",'Input - Technical'!$I$3:$I$50,"VIC"),0)</f>
        <v>0</v>
      </c>
      <c r="L37" s="20">
        <f>IFERROR(_xlfn.MINIFS('Input - Technical'!$F$3:$F$50,'Input - Technical'!$G$3:$G$50,"BIM Manager",'Input - Technical'!$H$3:$H$50,"M",'Input - Technical'!$I$3:$I$50,"VIC"),0)</f>
        <v>0</v>
      </c>
      <c r="M37" s="21">
        <f>IFERROR(_xlfn.MAXIFS('Input - Technical'!$F$3:$F$50,'Input - Technical'!$G$3:$G$50,"BIM Manager",'Input - Technical'!$H$3:$H$50,"M",'Input - Technical'!$I$3:$I$50,"VIC"),0)</f>
        <v>0</v>
      </c>
      <c r="N37" s="10">
        <f>COUNTIFS('Input - Technical'!$G$3:$G$50,"BIM Manager",'Input - Technical'!$H$3:$H$50,"M",'Input - Technical'!$I$3:$I$50,"SA")</f>
        <v>0</v>
      </c>
      <c r="O37" s="12">
        <f>IFERROR(AVERAGEIFS('Input - Technical'!$F$3:$F$50,'Input - Technical'!$G$3:$G$50,"BIM Manager",'Input - Technical'!$H$3:$H$50,"M",'Input - Technical'!$I$3:$I$50,"SA"),0)</f>
        <v>0</v>
      </c>
      <c r="P37" s="12">
        <f>IFERROR(_xlfn.MINIFS('Input - Technical'!$F$3:$F$50,'Input - Technical'!$G$3:$G$50,"BIM Manager",'Input - Technical'!$H$3:$H$50,"M",'Input - Technical'!$I$3:$I$50,"SA"),0)</f>
        <v>0</v>
      </c>
      <c r="Q37" s="15">
        <f>IFERROR(_xlfn.MAXIFS('Input - Technical'!$F$3:$F$50,'Input - Technical'!$G$3:$G$50,"BIM Manager",'Input - Technical'!$H$3:$H$50,"M",'Input - Technical'!$I$3:$I$50,"SA"),0)</f>
        <v>0</v>
      </c>
      <c r="R37" s="19">
        <f>COUNTIFS('Input - Technical'!$G$3:$G$50,"BIM Manager",'Input - Technical'!$H$3:$H$50,"M",'Input - Technical'!$I$3:$I$50,"WA")</f>
        <v>0</v>
      </c>
      <c r="S37" s="20">
        <f>IFERROR(AVERAGEIFS('Input - Technical'!$F$3:$F$50,'Input - Technical'!$G$3:$G$50,"BIM Manager",'Input - Technical'!$H$3:$H$50,"M",'Input - Technical'!$I$3:$I$50,"WA"),0)</f>
        <v>0</v>
      </c>
      <c r="T37" s="20">
        <f>IFERROR(_xlfn.MINIFS('Input - Technical'!$F$3:$F$50,'Input - Technical'!$G$3:$G$50,"BIM Manager",'Input - Technical'!$H$3:$H$50,"M",'Input - Technical'!$I$3:$I$50,"WA"),0)</f>
        <v>0</v>
      </c>
      <c r="U37" s="21">
        <f>IFERROR(_xlfn.MAXIFS('Input - Technical'!$F$3:$F$50,'Input - Technical'!$G$3:$G$50,"BIM Manager",'Input - Technical'!$H$3:$H$50,"M",'Input - Technical'!$I$3:$I$50,"WA"),0)</f>
        <v>0</v>
      </c>
      <c r="V37" s="10">
        <f>COUNTIFS('Input - Technical'!$G$3:$G$50,"BIM Manager",'Input - Technical'!$H$3:$H$50,"M",'Input - Technical'!$I$3:$I$50,"TAS")</f>
        <v>0</v>
      </c>
      <c r="W37" s="12">
        <f>IFERROR(AVERAGEIFS('Input - Technical'!$F$3:$F$50,'Input - Technical'!$G$3:$G$50,"BIM Manager",'Input - Technical'!$H$3:$H$50,"M",'Input - Technical'!$I$3:$I$50,"TAS"),0)</f>
        <v>0</v>
      </c>
      <c r="X37" s="12">
        <f>IFERROR(_xlfn.MINIFS('Input - Technical'!$F$3:$F$50,'Input - Technical'!$G$3:$G$50,"BIM Manager",'Input - Technical'!$H$3:$H$50,"M",'Input - Technical'!$I$3:$I$50,"TAS"),0)</f>
        <v>0</v>
      </c>
      <c r="Y37" s="15">
        <f>IFERROR(_xlfn.MAXIFS('Input - Technical'!$F$3:$F$50,'Input - Technical'!$G$3:$G$50,"BIM Manager",'Input - Technical'!$H$3:$H$50,"M",'Input - Technical'!$I$3:$I$50,"TAS"),0)</f>
        <v>0</v>
      </c>
      <c r="Z37" s="19">
        <f>COUNTIFS('Input - Technical'!$G$3:$G$50,"BIM Manager",'Input - Technical'!$H$3:$H$50,"M",'Input - Technical'!$I$3:$I$50,"NT")</f>
        <v>0</v>
      </c>
      <c r="AA37" s="20">
        <f>IFERROR(AVERAGEIFS('Input - Technical'!$F$3:$F$50,'Input - Technical'!$G$3:$G$50,"BIM Manager",'Input - Technical'!$H$3:$H$50,"M",'Input - Technical'!$I$3:$I$50,"NT"),0)</f>
        <v>0</v>
      </c>
      <c r="AB37" s="20">
        <f>IFERROR(_xlfn.MINIFS('Input - Technical'!$F$3:$F$50,'Input - Technical'!$G$3:$G$50,"BIM Manager",'Input - Technical'!$H$3:$H$50,"M",'Input - Technical'!$I$3:$I$50,"NT"),0)</f>
        <v>0</v>
      </c>
      <c r="AC37" s="21">
        <f>IFERROR(_xlfn.MAXIFS('Input - Technical'!$F$3:$F$50,'Input - Technical'!$G$3:$G$50,"BIM Manager",'Input - Technical'!$H$3:$H$50,"M",'Input - Technical'!$I$3:$I$50,"NT"),0)</f>
        <v>0</v>
      </c>
      <c r="AD37" s="10">
        <f>COUNTIFS('Input - Technical'!$G$3:$G$50,"BIM Manager",'Input - Technical'!$H$3:$H$50,"M",'Input - Technical'!$I$3:$I$50,"ACT")</f>
        <v>0</v>
      </c>
      <c r="AE37" s="12">
        <f>IFERROR(AVERAGEIFS('Input - Technical'!$F$3:$F$50,'Input - Technical'!$G$3:$G$50,"BIM Manager",'Input - Technical'!$H$3:$H$50,"M",'Input - Technical'!$I$3:$I$50,"ACT"),0)</f>
        <v>0</v>
      </c>
      <c r="AF37" s="12">
        <f>IFERROR(_xlfn.MINIFS('Input - Technical'!$F$3:$F$50,'Input - Technical'!$G$3:$G$50,"BIM Manager",'Input - Technical'!$H$3:$H$50,"M",'Input - Technical'!$I$3:$I$50,"ACT"),0)</f>
        <v>0</v>
      </c>
      <c r="AG37" s="15">
        <f>IFERROR(_xlfn.MAXIFS('Input - Technical'!$F$3:$F$50,'Input - Technical'!$G$3:$G$50,"BIM Manager",'Input - Technical'!$H$3:$H$50,"M",'Input - Technical'!$I$3:$I$50,"ACT"),0)</f>
        <v>0</v>
      </c>
    </row>
    <row r="38" spans="1:33" ht="15" thickBot="1" x14ac:dyDescent="0.4">
      <c r="A38" s="14" t="s">
        <v>92</v>
      </c>
      <c r="B38" s="22">
        <f>COUNTIFS('Input - Technical'!$G$3:$G$50,"BIM Manager",'Input - Technical'!$H$3:$H$50,"F",'Input - Technical'!$I$3:$I$50,"QLD")</f>
        <v>0</v>
      </c>
      <c r="C38" s="23">
        <f>IFERROR(AVERAGEIFS('Input - Technical'!$F$3:$F$50,'Input - Technical'!$G$3:$G$50,"BIM Manager",'Input - Technical'!$H$3:$H$50,"F",'Input - Technical'!$I$3:$I$50,"QLD"),0)</f>
        <v>0</v>
      </c>
      <c r="D38" s="23">
        <f>IFERROR(_xlfn.MINIFS('Input - Technical'!$F$3:$F$50,'Input - Technical'!$G$3:$G$50,"BIM Manager",'Input - Technical'!$H$3:$H$50,"F",'Input - Technical'!$I$3:$I$50,"QLD"),0)</f>
        <v>0</v>
      </c>
      <c r="E38" s="24">
        <f>IFERROR(_xlfn.MAXIFS('Input - Technical'!$F$3:$F$50,'Input - Technical'!$G$3:$G$50,"BIM Manager",'Input - Technical'!$H$3:$H$50,"F",'Input - Technical'!$I$3:$I$50,"QLD"),0)</f>
        <v>0</v>
      </c>
      <c r="F38" s="16">
        <f>COUNTIFS('Input - Technical'!$G$3:$G$50,"BIM Manager",'Input - Technical'!$H$3:$H$50,"F",'Input - Technical'!$I$3:$I$50,"NSW")</f>
        <v>0</v>
      </c>
      <c r="G38" s="17">
        <f>IFERROR(AVERAGEIFS('Input - Technical'!$F$3:$F$50,'Input - Technical'!$G$3:$G$50,"BIM Manager",'Input - Technical'!$H$3:$H$50,"F",'Input - Technical'!$I$3:$I$50,"NSW"),0)</f>
        <v>0</v>
      </c>
      <c r="H38" s="17">
        <f>IFERROR(_xlfn.MINIFS('Input - Technical'!$F$3:$F$50,'Input - Technical'!$G$3:$G$50,"BIM Manager",'Input - Technical'!$H$3:$H$50,"F",'Input - Technical'!$I$3:$I$50,"NSW"),0)</f>
        <v>0</v>
      </c>
      <c r="I38" s="18">
        <f>IFERROR(_xlfn.MAXIFS('Input - Technical'!$F$3:$F$50,'Input - Technical'!$G$3:$G$50,"BIM Manager",'Input - Technical'!$H$3:$H$50,"F",'Input - Technical'!$I$3:$I$50,"NSW"),0)</f>
        <v>0</v>
      </c>
      <c r="J38" s="22">
        <f>COUNTIFS('Input - Technical'!$G$3:$G$50,"BIM Manager",'Input - Technical'!$H$3:$H$50,"F",'Input - Technical'!$I$3:$I$50,"VIC")</f>
        <v>0</v>
      </c>
      <c r="K38" s="23">
        <f>IFERROR(AVERAGEIFS('Input - Technical'!$F$3:$F$50,'Input - Technical'!$G$3:$G$50,"BIM Manager",'Input - Technical'!$H$3:$H$50,"F",'Input - Technical'!$I$3:$I$50,"VIC"),0)</f>
        <v>0</v>
      </c>
      <c r="L38" s="23">
        <f>IFERROR(_xlfn.MINIFS('Input - Technical'!$F$3:$F$50,'Input - Technical'!$G$3:$G$50,"BIM Manager",'Input - Technical'!$H$3:$H$50,"F",'Input - Technical'!$I$3:$I$50,"VIC"),0)</f>
        <v>0</v>
      </c>
      <c r="M38" s="24">
        <f>IFERROR(_xlfn.MAXIFS('Input - Technical'!$F$3:$F$50,'Input - Technical'!$G$3:$G$50,"BIM Manager",'Input - Technical'!$H$3:$H$50,"F",'Input - Technical'!$I$3:$I$50,"VIC"),0)</f>
        <v>0</v>
      </c>
      <c r="N38" s="16">
        <f>COUNTIFS('Input - Technical'!$G$3:$G$50,"BIM Manager",'Input - Technical'!$H$3:$H$50,"F",'Input - Technical'!$I$3:$I$50,"SA")</f>
        <v>0</v>
      </c>
      <c r="O38" s="17">
        <f>IFERROR(AVERAGEIFS('Input - Technical'!$F$3:$F$50,'Input - Technical'!$G$3:$G$50,"BIM Manager",'Input - Technical'!$H$3:$H$50,"F",'Input - Technical'!$I$3:$I$50,"SA"),0)</f>
        <v>0</v>
      </c>
      <c r="P38" s="17">
        <f>IFERROR(_xlfn.MINIFS('Input - Technical'!$F$3:$F$50,'Input - Technical'!$G$3:$G$50,"BIM Manager",'Input - Technical'!$H$3:$H$50,"F",'Input - Technical'!$I$3:$I$50,"SA"),0)</f>
        <v>0</v>
      </c>
      <c r="Q38" s="18">
        <f>IFERROR(_xlfn.MAXIFS('Input - Technical'!$F$3:$F$50,'Input - Technical'!$G$3:$G$50,"BIM Manager",'Input - Technical'!$H$3:$H$50,"F",'Input - Technical'!$I$3:$I$50,"SA"),0)</f>
        <v>0</v>
      </c>
      <c r="R38" s="22">
        <f>COUNTIFS('Input - Technical'!$G$3:$G$50,"BIM Manager",'Input - Technical'!$H$3:$H$50,"F",'Input - Technical'!$I$3:$I$50,"WA")</f>
        <v>0</v>
      </c>
      <c r="S38" s="23">
        <f>IFERROR(AVERAGEIFS('Input - Technical'!$F$3:$F$50,'Input - Technical'!$G$3:$G$50,"BIM Manager",'Input - Technical'!$H$3:$H$50,"F",'Input - Technical'!$I$3:$I$50,"WA"),0)</f>
        <v>0</v>
      </c>
      <c r="T38" s="23">
        <f>IFERROR(_xlfn.MINIFS('Input - Technical'!$F$3:$F$50,'Input - Technical'!$G$3:$G$50,"BIM Manager",'Input - Technical'!$H$3:$H$50,"F",'Input - Technical'!$I$3:$I$50,"WA"),0)</f>
        <v>0</v>
      </c>
      <c r="U38" s="24">
        <f>IFERROR(_xlfn.MAXIFS('Input - Technical'!$F$3:$F$50,'Input - Technical'!$G$3:$G$50,"BIM Manager",'Input - Technical'!$H$3:$H$50,"F",'Input - Technical'!$I$3:$I$50,"WA"),0)</f>
        <v>0</v>
      </c>
      <c r="V38" s="16">
        <f>COUNTIFS('Input - Technical'!$G$3:$G$50,"BIM Manager",'Input - Technical'!$H$3:$H$50,"F",'Input - Technical'!$I$3:$I$50,"TAS")</f>
        <v>0</v>
      </c>
      <c r="W38" s="17">
        <f>IFERROR(AVERAGEIFS('Input - Technical'!$F$3:$F$50,'Input - Technical'!$G$3:$G$50,"BIM Manager",'Input - Technical'!$H$3:$H$50,"F",'Input - Technical'!$I$3:$I$50,"TAS"),0)</f>
        <v>0</v>
      </c>
      <c r="X38" s="17">
        <f>IFERROR(_xlfn.MINIFS('Input - Technical'!$F$3:$F$50,'Input - Technical'!$G$3:$G$50,"BIM Manager",'Input - Technical'!$H$3:$H$50,"F",'Input - Technical'!$I$3:$I$50,"AS"),0)</f>
        <v>0</v>
      </c>
      <c r="Y38" s="18">
        <f>IFERROR(_xlfn.MAXIFS('Input - Technical'!$F$3:$F$50,'Input - Technical'!$G$3:$G$50,"BIM Manager",'Input - Technical'!$H$3:$H$50,"F",'Input - Technical'!$I$3:$I$50,"TAS"),0)</f>
        <v>0</v>
      </c>
      <c r="Z38" s="22">
        <f>COUNTIFS('Input - Technical'!$G$3:$G$50,"BIM Manager",'Input - Technical'!$H$3:$H$50,"F",'Input - Technical'!$I$3:$I$50,"NT")</f>
        <v>0</v>
      </c>
      <c r="AA38" s="23">
        <f>IFERROR(AVERAGEIFS('Input - Technical'!$F$3:$F$50,'Input - Technical'!$G$3:$G$50,"BIM Manager",'Input - Technical'!$H$3:$H$50,"F",'Input - Technical'!$I$3:$I$50,"NT"),0)</f>
        <v>0</v>
      </c>
      <c r="AB38" s="23">
        <f>IFERROR(_xlfn.MINIFS('Input - Technical'!$F$3:$F$50,'Input - Technical'!$G$3:$G$50,"BIM Manager",'Input - Technical'!$H$3:$H$50,"F",'Input - Technical'!$I$3:$I$50,"NT"),0)</f>
        <v>0</v>
      </c>
      <c r="AC38" s="24">
        <f>IFERROR(_xlfn.MAXIFS('Input - Technical'!$F$3:$F$50,'Input - Technical'!$G$3:$G$50,"BIM Manager",'Input - Technical'!$H$3:$H$50,"F",'Input - Technical'!$I$3:$I$50,"NT"),0)</f>
        <v>0</v>
      </c>
      <c r="AD38" s="16">
        <f>COUNTIFS('Input - Technical'!$G$3:$G$50,"BIM Manager",'Input - Technical'!$H$3:$H$50,"F",'Input - Technical'!$I$3:$I$50,"ACT")</f>
        <v>0</v>
      </c>
      <c r="AE38" s="17">
        <f>IFERROR(AVERAGEIFS('Input - Technical'!$F$3:$F$50,'Input - Technical'!$G$3:$G$50,"BIM Manager",'Input - Technical'!$H$3:$H$50,"F",'Input - Technical'!$I$3:$I$50,"ACT"),0)</f>
        <v>0</v>
      </c>
      <c r="AF38" s="17">
        <f>IFERROR(_xlfn.MINIFS('Input - Technical'!$F$3:$F$50,'Input - Technical'!$G$3:$G$50,"BIM Manager",'Input - Technical'!$H$3:$H$50,"F",'Input - Technical'!$I$3:$I$50,"AS"),0)</f>
        <v>0</v>
      </c>
      <c r="AG38" s="18">
        <f>IFERROR(_xlfn.MAXIFS('Input - Technical'!$F$3:$F$50,'Input - Technical'!$G$3:$G$50,"BIM Manager",'Input - Technical'!$H$3:$H$50,"F",'Input - Technical'!$I$3:$I$50,"ACT"),0)</f>
        <v>0</v>
      </c>
    </row>
    <row r="41" spans="1:33" ht="15" thickBot="1" x14ac:dyDescent="0.4"/>
    <row r="42" spans="1:33" ht="29" thickBot="1" x14ac:dyDescent="0.7">
      <c r="A42" s="62" t="s">
        <v>93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</row>
    <row r="43" spans="1:33" ht="18.5" x14ac:dyDescent="0.45">
      <c r="A43" s="6"/>
      <c r="B43" s="68" t="s">
        <v>51</v>
      </c>
      <c r="C43" s="69"/>
      <c r="D43" s="69"/>
      <c r="E43" s="70"/>
      <c r="F43" s="68" t="s">
        <v>52</v>
      </c>
      <c r="G43" s="69"/>
      <c r="H43" s="69"/>
      <c r="I43" s="70"/>
      <c r="J43" s="68" t="s">
        <v>53</v>
      </c>
      <c r="K43" s="69"/>
      <c r="L43" s="69"/>
      <c r="M43" s="70"/>
      <c r="N43" s="68" t="s">
        <v>54</v>
      </c>
      <c r="O43" s="69"/>
      <c r="P43" s="69"/>
      <c r="Q43" s="70"/>
      <c r="R43" s="68" t="s">
        <v>55</v>
      </c>
      <c r="S43" s="69"/>
      <c r="T43" s="69"/>
      <c r="U43" s="70"/>
      <c r="V43" s="68" t="s">
        <v>56</v>
      </c>
      <c r="W43" s="69"/>
      <c r="X43" s="69"/>
      <c r="Y43" s="70"/>
      <c r="Z43" s="68" t="s">
        <v>57</v>
      </c>
      <c r="AA43" s="69"/>
      <c r="AB43" s="69"/>
      <c r="AC43" s="70"/>
      <c r="AD43" s="68" t="s">
        <v>42</v>
      </c>
      <c r="AE43" s="69"/>
      <c r="AF43" s="69"/>
      <c r="AG43" s="70"/>
    </row>
    <row r="44" spans="1:33" ht="15" thickBot="1" x14ac:dyDescent="0.4">
      <c r="A44" s="58" t="s">
        <v>32</v>
      </c>
      <c r="B44" s="7" t="s">
        <v>58</v>
      </c>
      <c r="C44" s="8" t="s">
        <v>59</v>
      </c>
      <c r="D44" s="8" t="s">
        <v>60</v>
      </c>
      <c r="E44" s="9" t="s">
        <v>61</v>
      </c>
      <c r="F44" s="7" t="s">
        <v>58</v>
      </c>
      <c r="G44" s="8" t="s">
        <v>59</v>
      </c>
      <c r="H44" s="8" t="s">
        <v>60</v>
      </c>
      <c r="I44" s="9" t="s">
        <v>61</v>
      </c>
      <c r="J44" s="7" t="s">
        <v>58</v>
      </c>
      <c r="K44" s="8" t="s">
        <v>59</v>
      </c>
      <c r="L44" s="8" t="s">
        <v>60</v>
      </c>
      <c r="M44" s="9" t="s">
        <v>61</v>
      </c>
      <c r="N44" s="7" t="s">
        <v>58</v>
      </c>
      <c r="O44" s="8" t="s">
        <v>59</v>
      </c>
      <c r="P44" s="8" t="s">
        <v>60</v>
      </c>
      <c r="Q44" s="9" t="s">
        <v>61</v>
      </c>
      <c r="R44" s="7" t="s">
        <v>58</v>
      </c>
      <c r="S44" s="8" t="s">
        <v>59</v>
      </c>
      <c r="T44" s="8" t="s">
        <v>60</v>
      </c>
      <c r="U44" s="9" t="s">
        <v>61</v>
      </c>
      <c r="V44" s="7" t="s">
        <v>58</v>
      </c>
      <c r="W44" s="8" t="s">
        <v>59</v>
      </c>
      <c r="X44" s="8" t="s">
        <v>60</v>
      </c>
      <c r="Y44" s="9" t="s">
        <v>61</v>
      </c>
      <c r="Z44" s="7" t="s">
        <v>58</v>
      </c>
      <c r="AA44" s="8" t="s">
        <v>59</v>
      </c>
      <c r="AB44" s="8" t="s">
        <v>60</v>
      </c>
      <c r="AC44" s="9" t="s">
        <v>61</v>
      </c>
      <c r="AD44" s="7" t="s">
        <v>58</v>
      </c>
      <c r="AE44" s="8" t="s">
        <v>59</v>
      </c>
      <c r="AF44" s="8" t="s">
        <v>60</v>
      </c>
      <c r="AG44" s="9" t="s">
        <v>61</v>
      </c>
    </row>
    <row r="45" spans="1:33" x14ac:dyDescent="0.35">
      <c r="A45" s="57" t="s">
        <v>94</v>
      </c>
      <c r="B45" s="19">
        <f>COUNTIFS('Input - Interior Design'!$G$3:$G$50,"Graduate",'Input - Interior Design'!$H$3:$H$50,"M",'Input - Interior Design'!$I$3:$I$50,"QLD")</f>
        <v>0</v>
      </c>
      <c r="C45" s="20">
        <f>IFERROR(AVERAGEIFS('Input - Interior Design'!$F$3:$F$50,'Input - Interior Design'!$G$3:$G$50,"Graduate",'Input - Interior Design'!$H$3:$H$50,"M",'Input - Interior Design'!$I$3:$I$50,"QLD"),0)</f>
        <v>0</v>
      </c>
      <c r="D45" s="20">
        <f>IFERROR(_xlfn.MINIFS('Input - Interior Design'!$F$3:$F$50,'Input - Interior Design'!$G$3:$G$50,"Graduate",'Input - Interior Design'!$H$3:$H$50,"M",'Input - Interior Design'!$I$3:$I$50,"QLD"),0)</f>
        <v>0</v>
      </c>
      <c r="E45" s="21">
        <f>IFERROR(_xlfn.MAXIFS('Input - Interior Design'!$F$3:$F$50,'Input - Interior Design'!$G$3:$G$50,"Graduate",'Input - Interior Design'!$H$3:$H$50,"M",'Input - Interior Design'!$I$3:$I$50,"QLD"),0)</f>
        <v>0</v>
      </c>
      <c r="F45" s="10">
        <f>COUNTIFS('Input - Interior Design'!$G$3:$G$50,"Graduate",'Input - Interior Design'!$H$3:$H$50,"M",'Input - Interior Design'!$I$3:$I$50,"NSW")</f>
        <v>0</v>
      </c>
      <c r="G45" s="12">
        <f>IFERROR(AVERAGEIFS('Input - Interior Design'!$F$3:$F$50,'Input - Interior Design'!$G$3:$G$50,"Graduate",'Input - Interior Design'!$H$3:$H$50,"M",'Input - Interior Design'!$I$3:$I$50,"NSW"),0)</f>
        <v>0</v>
      </c>
      <c r="H45" s="12">
        <f>IFERROR(_xlfn.MINIFS('Input - Interior Design'!$F$3:$F$50,'Input - Interior Design'!$G$3:$G$50,"Graduate",'Input - Interior Design'!$H$3:$H$50,"M",'Input - Interior Design'!$I$3:$I$50,"NSW"),0)</f>
        <v>0</v>
      </c>
      <c r="I45" s="15">
        <f>IFERROR(_xlfn.MAXIFS('Input - Interior Design'!$F$3:$F$50,'Input - Interior Design'!$G$3:$G$50,"Graduate",'Input - Interior Design'!$H$3:$H$50,"M",'Input - Interior Design'!$I$3:$I$50,"NSW"),0)</f>
        <v>0</v>
      </c>
      <c r="J45" s="19">
        <f>COUNTIFS('Input - Interior Design'!$G$3:$G$50,"Graduate",'Input - Interior Design'!$H$3:$H$50,"M",'Input - Interior Design'!$I$3:$I$50,"VIC")</f>
        <v>0</v>
      </c>
      <c r="K45" s="20">
        <f>IFERROR(AVERAGEIFS('Input - Interior Design'!$F$3:$F$50,'Input - Interior Design'!$G$3:$G$50,"Graduate",'Input - Interior Design'!$H$3:$H$50,"M",'Input - Interior Design'!$I$3:$I$50,"VIC"),0)</f>
        <v>0</v>
      </c>
      <c r="L45" s="20">
        <f>IFERROR(_xlfn.MINIFS('Input - Interior Design'!$F$3:$F$50,'Input - Interior Design'!$G$3:$G$50,"Graduate",'Input - Interior Design'!$H$3:$H$50,"M",'Input - Interior Design'!$I$3:$I$50,"VIC"),0)</f>
        <v>0</v>
      </c>
      <c r="M45" s="21">
        <f>IFERROR(_xlfn.MAXIFS('Input - Interior Design'!$F$3:$F$50,'Input - Interior Design'!$G$3:$G$50,"Graduate",'Input - Interior Design'!$H$3:$H$50,"M",'Input - Interior Design'!$I$3:$I$50,"VIC"),0)</f>
        <v>0</v>
      </c>
      <c r="N45" s="10">
        <f>COUNTIFS('Input - Interior Design'!$G$3:$G$50,"Graduate",'Input - Interior Design'!$H$3:$H$50,"M",'Input - Interior Design'!$I$3:$I$50,"SA")</f>
        <v>0</v>
      </c>
      <c r="O45" s="12">
        <f>IFERROR(AVERAGEIFS('Input - Interior Design'!$F$3:$F$50,'Input - Interior Design'!$G$3:$G$50,"Graduate",'Input - Interior Design'!$H$3:$H$50,"M",'Input - Interior Design'!$I$3:$I$50,"SA"),0)</f>
        <v>0</v>
      </c>
      <c r="P45" s="12">
        <f>IFERROR(_xlfn.MINIFS('Input - Interior Design'!$F$3:$F$50,'Input - Interior Design'!$G$3:$G$50,"Graduate",'Input - Interior Design'!$H$3:$H$50,"M",'Input - Interior Design'!$I$3:$I$50,"SA"),0)</f>
        <v>0</v>
      </c>
      <c r="Q45" s="15">
        <f>IFERROR(_xlfn.MAXIFS('Input - Interior Design'!$F$3:$F$50,'Input - Interior Design'!$G$3:$G$50,"Graduate",'Input - Interior Design'!$H$3:$H$50,"M",'Input - Interior Design'!$I$3:$I$50,"SA"),0)</f>
        <v>0</v>
      </c>
      <c r="R45" s="19">
        <f>COUNTIFS('Input - Interior Design'!$G$3:$G$50,"Graduate",'Input - Interior Design'!$H$3:$H$50,"M",'Input - Interior Design'!$I$3:$I$50,"WA")</f>
        <v>0</v>
      </c>
      <c r="S45" s="20">
        <f>IFERROR(AVERAGEIFS('Input - Interior Design'!$F$3:$F$50,'Input - Interior Design'!$G$3:$G$50,"Graduate",'Input - Interior Design'!$H$3:$H$50,"M",'Input - Interior Design'!$I$3:$I$50,"WA"),0)</f>
        <v>0</v>
      </c>
      <c r="T45" s="20">
        <f>IFERROR(_xlfn.MINIFS('Input - Interior Design'!$F$3:$F$50,'Input - Interior Design'!$G$3:$G$50,"Graduate",'Input - Interior Design'!$H$3:$H$50,"M",'Input - Interior Design'!$I$3:$I$50,"WA"),0)</f>
        <v>0</v>
      </c>
      <c r="U45" s="21">
        <f>IFERROR(_xlfn.MAXIFS('Input - Interior Design'!$F$3:$F$50,'Input - Interior Design'!$G$3:$G$50,"Graduate",'Input - Interior Design'!$H$3:$H$50,"M",'Input - Interior Design'!$I$3:$I$50,"WA"),0)</f>
        <v>0</v>
      </c>
      <c r="V45" s="10">
        <f>COUNTIFS('Input - Interior Design'!$G$3:$G$50,"Graduate",'Input - Interior Design'!$H$3:$H$50,"M",'Input - Interior Design'!$I$3:$I$50,"TAS")</f>
        <v>0</v>
      </c>
      <c r="W45" s="12">
        <f>IFERROR(AVERAGEIFS('Input - Interior Design'!$F$3:$F$50,'Input - Interior Design'!$G$3:$G$50,"Graduate",'Input - Interior Design'!$H$3:$H$50,"M",'Input - Interior Design'!$I$3:$I$50,"TAS"),0)</f>
        <v>0</v>
      </c>
      <c r="X45" s="12">
        <f>IFERROR(_xlfn.MINIFS('Input - Interior Design'!$F$3:$F$50,'Input - Interior Design'!$G$3:$G$50,"Graduate",'Input - Interior Design'!$H$3:$H$50,"M",'Input - Interior Design'!$I$3:$I$50,"TAS"),0)</f>
        <v>0</v>
      </c>
      <c r="Y45" s="15">
        <f>IFERROR(_xlfn.MAXIFS('Input - Interior Design'!$F$3:$F$50,'Input - Interior Design'!$G$3:$G$50,"Graduate",'Input - Interior Design'!$H$3:$H$50,"M",'Input - Interior Design'!$I$3:$I$50,"TAS"),0)</f>
        <v>0</v>
      </c>
      <c r="Z45" s="19">
        <f>COUNTIFS('Input - Interior Design'!$G$3:$G$50,"Graduate",'Input - Interior Design'!$H$3:$H$50,"M",'Input - Interior Design'!$I$3:$I$50,"NT")</f>
        <v>0</v>
      </c>
      <c r="AA45" s="20">
        <f>IFERROR(AVERAGEIFS('Input - Interior Design'!$F$3:$F$50,'Input - Interior Design'!$G$3:$G$50,"Graduate",'Input - Interior Design'!$H$3:$H$50,"M",'Input - Interior Design'!$I$3:$I$50,"NT"),0)</f>
        <v>0</v>
      </c>
      <c r="AB45" s="20">
        <f>IFERROR(_xlfn.MINIFS('Input - Interior Design'!$F$3:$F$50,'Input - Interior Design'!$G$3:$G$50,"Graduate",'Input - Interior Design'!$H$3:$H$50,"M",'Input - Interior Design'!$I$3:$I$50,"NT"),0)</f>
        <v>0</v>
      </c>
      <c r="AC45" s="21">
        <f>IFERROR(_xlfn.MAXIFS('Input - Interior Design'!$F$3:$F$50,'Input - Interior Design'!$G$3:$G$50,"Graduate",'Input - Interior Design'!$H$3:$H$50,"M",'Input - Interior Design'!$I$3:$I$50,"NT"),0)</f>
        <v>0</v>
      </c>
      <c r="AD45" s="10">
        <f>COUNTIFS('Input - Interior Design'!$G$3:$G$50,"Graduate",'Input - Interior Design'!$H$3:$H$50,"M",'Input - Interior Design'!$I$3:$I$50,"ACT")</f>
        <v>0</v>
      </c>
      <c r="AE45" s="12">
        <f>IFERROR(AVERAGEIFS('Input - Interior Design'!$F$3:$F$50,'Input - Interior Design'!$G$3:$G$50,"Graduate",'Input - Interior Design'!$H$3:$H$50,"M",'Input - Interior Design'!$I$3:$I$50,"ACT"),0)</f>
        <v>0</v>
      </c>
      <c r="AF45" s="12">
        <f>IFERROR(_xlfn.MINIFS('Input - Interior Design'!$F$3:$F$50,'Input - Interior Design'!$G$3:$G$50,"Graduate",'Input - Interior Design'!$H$3:$H$50,"M",'Input - Interior Design'!$I$3:$I$50,"ACT"),0)</f>
        <v>0</v>
      </c>
      <c r="AG45" s="15">
        <f>IFERROR(_xlfn.MAXIFS('Input - Interior Design'!$F$3:$F$50,'Input - Interior Design'!$G$3:$G$50,"Graduate",'Input - Interior Design'!$H$3:$H$50,"M",'Input - Interior Design'!$I$3:$I$50,"ACT"),0)</f>
        <v>0</v>
      </c>
    </row>
    <row r="46" spans="1:33" x14ac:dyDescent="0.35">
      <c r="A46" s="11" t="s">
        <v>95</v>
      </c>
      <c r="B46" s="19">
        <f>COUNTIFS('Input - Interior Design'!$G$3:$G$50,"Graduate",'Input - Interior Design'!$H$3:$H$50,"F",'Input - Interior Design'!$I$3:$I$50,"QLD")</f>
        <v>0</v>
      </c>
      <c r="C46" s="20">
        <f>IFERROR(AVERAGEIFS('Input - Interior Design'!$F$3:$F$50,'Input - Interior Design'!$G$3:$G$50,"Graduate",'Input - Interior Design'!$H$3:$H$50,"F",'Input - Interior Design'!$I$3:$I$50,"QLD"),0)</f>
        <v>0</v>
      </c>
      <c r="D46" s="20">
        <f>IFERROR(_xlfn.MINIFS('Input - Interior Design'!$F$3:$F$50,'Input - Interior Design'!$G$3:$G$50,"Graduate",'Input - Interior Design'!$H$3:$H$50,"F",'Input - Interior Design'!$I$3:$I$50,"QLD"),0)</f>
        <v>0</v>
      </c>
      <c r="E46" s="21">
        <f>IFERROR(_xlfn.MAXIFS('Input - Interior Design'!$F$3:$F$50,'Input - Interior Design'!$G$3:$G$50,"Graduate",'Input - Interior Design'!$H$3:$H$50,"F",'Input - Interior Design'!$I$3:$I$50,"QLD"),0)</f>
        <v>0</v>
      </c>
      <c r="F46" s="10">
        <f>COUNTIFS('Input - Interior Design'!$G$3:$G$50,"Graduate",'Input - Interior Design'!$H$3:$H$50,"F",'Input - Interior Design'!$I$3:$I$50,"NSW")</f>
        <v>0</v>
      </c>
      <c r="G46" s="12">
        <f>IFERROR(AVERAGEIFS('Input - Interior Design'!$F$3:$F$50,'Input - Interior Design'!$G$3:$G$50,"Graduate",'Input - Interior Design'!$H$3:$H$50,"F",'Input - Interior Design'!$I$3:$I$50,"NSW"),0)</f>
        <v>0</v>
      </c>
      <c r="H46" s="12">
        <f>IFERROR(_xlfn.MINIFS('Input - Interior Design'!$F$3:$F$50,'Input - Interior Design'!$G$3:$G$50,"Graduate",'Input - Interior Design'!$H$3:$H$50,"F",'Input - Interior Design'!$I$3:$I$50,"NSW"),0)</f>
        <v>0</v>
      </c>
      <c r="I46" s="15">
        <f>IFERROR(_xlfn.MAXIFS('Input - Interior Design'!$F$3:$F$50,'Input - Interior Design'!$G$3:$G$50,"Graduate",'Input - Interior Design'!$H$3:$H$50,"F",'Input - Interior Design'!$I$3:$I$50,"NSW"),0)</f>
        <v>0</v>
      </c>
      <c r="J46" s="19">
        <f>COUNTIFS('Input - Interior Design'!$G$3:$G$50,"Graduate",'Input - Interior Design'!$H$3:$H$50,"F",'Input - Interior Design'!$I$3:$I$50,"VIC")</f>
        <v>0</v>
      </c>
      <c r="K46" s="20">
        <f>IFERROR(AVERAGEIFS('Input - Interior Design'!$F$3:$F$50,'Input - Interior Design'!$G$3:$G$50,"Graduate",'Input - Interior Design'!$H$3:$H$50,"F",'Input - Interior Design'!$I$3:$I$50,"VIC"),0)</f>
        <v>0</v>
      </c>
      <c r="L46" s="20">
        <f>IFERROR(_xlfn.MINIFS('Input - Interior Design'!$F$3:$F$50,'Input - Interior Design'!$G$3:$G$50,"Graduate",'Input - Interior Design'!$H$3:$H$50,"F",'Input - Interior Design'!$I$3:$I$50,"VIC"),0)</f>
        <v>0</v>
      </c>
      <c r="M46" s="21">
        <f>IFERROR(_xlfn.MAXIFS('Input - Interior Design'!$F$3:$F$50,'Input - Interior Design'!$G$3:$G$50,"Graduate",'Input - Interior Design'!$H$3:$H$50,"F",'Input - Interior Design'!$I$3:$I$50,"VIC"),0)</f>
        <v>0</v>
      </c>
      <c r="N46" s="10">
        <f>COUNTIFS('Input - Interior Design'!$G$3:$G$50,"Graduate",'Input - Interior Design'!$H$3:$H$50,"F",'Input - Interior Design'!$I$3:$I$50,"SA")</f>
        <v>0</v>
      </c>
      <c r="O46" s="12">
        <f>IFERROR(AVERAGEIFS('Input - Interior Design'!$F$3:$F$50,'Input - Interior Design'!$G$3:$G$50,"Graduate",'Input - Interior Design'!$H$3:$H$50,"F",'Input - Interior Design'!$I$3:$I$50,"SA"),0)</f>
        <v>0</v>
      </c>
      <c r="P46" s="12">
        <f>IFERROR(_xlfn.MINIFS('Input - Interior Design'!$F$3:$F$50,'Input - Interior Design'!$G$3:$G$50,"Graduate",'Input - Interior Design'!$H$3:$H$50,"F",'Input - Interior Design'!$I$3:$I$50,"SA"),0)</f>
        <v>0</v>
      </c>
      <c r="Q46" s="15">
        <f>IFERROR(_xlfn.MAXIFS('Input - Interior Design'!$F$3:$F$50,'Input - Interior Design'!$G$3:$G$50,"Graduate",'Input - Interior Design'!$H$3:$H$50,"F",'Input - Interior Design'!$I$3:$I$50,"SA"),0)</f>
        <v>0</v>
      </c>
      <c r="R46" s="19">
        <f>COUNTIFS('Input - Interior Design'!$G$3:$G$50,"Graduate",'Input - Interior Design'!$H$3:$H$50,"F",'Input - Interior Design'!$I$3:$I$50,"WA")</f>
        <v>0</v>
      </c>
      <c r="S46" s="20">
        <f>IFERROR(AVERAGEIFS('Input - Interior Design'!$F$3:$F$50,'Input - Interior Design'!$G$3:$G$50,"Graduate",'Input - Interior Design'!$H$3:$H$50,"F",'Input - Interior Design'!$I$3:$I$50,"WA"),0)</f>
        <v>0</v>
      </c>
      <c r="T46" s="20">
        <f>IFERROR(_xlfn.MINIFS('Input - Interior Design'!$F$3:$F$50,'Input - Interior Design'!$G$3:$G$50,"Graduate",'Input - Interior Design'!$H$3:$H$50,"F",'Input - Interior Design'!$I$3:$I$50,"WA"),0)</f>
        <v>0</v>
      </c>
      <c r="U46" s="21">
        <f>IFERROR(_xlfn.MAXIFS('Input - Interior Design'!$F$3:$F$50,'Input - Interior Design'!$G$3:$G$50,"Graduate",'Input - Interior Design'!$H$3:$H$50,"F",'Input - Interior Design'!$I$3:$I$50,"WA"),0)</f>
        <v>0</v>
      </c>
      <c r="V46" s="10">
        <f>COUNTIFS('Input - Interior Design'!$G$3:$G$50,"Graduate",'Input - Interior Design'!$H$3:$H$50,"F",'Input - Interior Design'!$I$3:$I$50,"TAS")</f>
        <v>0</v>
      </c>
      <c r="W46" s="12">
        <f>IFERROR(AVERAGEIFS('Input - Interior Design'!$F$3:$F$50,'Input - Interior Design'!$G$3:$G$50,"Graduate",'Input - Interior Design'!$H$3:$H$50,"F",'Input - Interior Design'!$I$3:$I$50,"TAS"),0)</f>
        <v>0</v>
      </c>
      <c r="X46" s="12">
        <f>IFERROR(_xlfn.MINIFS('Input - Interior Design'!$F$3:$F$50,'Input - Interior Design'!$G$3:$G$50,"Graduate",'Input - Interior Design'!$H$3:$H$50,"F",'Input - Interior Design'!$I$3:$I$50,"TAS"),0)</f>
        <v>0</v>
      </c>
      <c r="Y46" s="15">
        <f>IFERROR(_xlfn.MAXIFS('Input - Interior Design'!$F$3:$F$50,'Input - Interior Design'!$G$3:$G$50,"Graduate",'Input - Interior Design'!$H$3:$H$50,"F",'Input - Interior Design'!$I$3:$I$50,"TAS"),0)</f>
        <v>0</v>
      </c>
      <c r="Z46" s="19">
        <f>COUNTIFS('Input - Interior Design'!$G$3:$G$50,"Graduate",'Input - Interior Design'!$H$3:$H$50,"F",'Input - Interior Design'!$I$3:$I$50,"NT")</f>
        <v>0</v>
      </c>
      <c r="AA46" s="20">
        <f>IFERROR(AVERAGEIFS('Input - Interior Design'!$F$3:$F$50,'Input - Interior Design'!$G$3:$G$50,"Graduate",'Input - Interior Design'!$H$3:$H$50,"F",'Input - Interior Design'!$I$3:$I$50,"NT"),0)</f>
        <v>0</v>
      </c>
      <c r="AB46" s="20">
        <f>IFERROR(_xlfn.MINIFS('Input - Interior Design'!$F$3:$F$50,'Input - Interior Design'!$G$3:$G$50,"Graduate",'Input - Interior Design'!$H$3:$H$50,"F",'Input - Interior Design'!$I$3:$I$50,"NT"),0)</f>
        <v>0</v>
      </c>
      <c r="AC46" s="21">
        <f>IFERROR(_xlfn.MAXIFS('Input - Interior Design'!$F$3:$F$50,'Input - Interior Design'!$G$3:$G$50,"Graduate",'Input - Interior Design'!$H$3:$H$50,"F",'Input - Interior Design'!$I$3:$I$50,"NT"),0)</f>
        <v>0</v>
      </c>
      <c r="AD46" s="10">
        <f>COUNTIFS('Input - Interior Design'!$G$3:$G$50,"Graduate",'Input - Interior Design'!$H$3:$H$50,"F",'Input - Interior Design'!$I$3:$I$50,"ACT")</f>
        <v>0</v>
      </c>
      <c r="AE46" s="12">
        <f>IFERROR(AVERAGEIFS('Input - Interior Design'!$F$3:$F$50,'Input - Interior Design'!$G$3:$G$50,"Graduate",'Input - Interior Design'!$H$3:$H$50,"F",'Input - Interior Design'!$I$3:$I$50,"ACT"),0)</f>
        <v>0</v>
      </c>
      <c r="AF46" s="12">
        <f>IFERROR(_xlfn.MINIFS('Input - Interior Design'!$F$3:$F$50,'Input - Interior Design'!$G$3:$G$50,"Graduate",'Input - Interior Design'!$H$3:$H$50,"F",'Input - Interior Design'!$I$3:$I$50,"ACT"),0)</f>
        <v>0</v>
      </c>
      <c r="AG46" s="15">
        <f>IFERROR(_xlfn.MAXIFS('Input - Interior Design'!$F$3:$F$50,'Input - Interior Design'!$G$3:$G$50,"Graduate",'Input - Interior Design'!$H$3:$H$50,"F",'Input - Interior Design'!$I$3:$I$50,"ACT"),0)</f>
        <v>0</v>
      </c>
    </row>
    <row r="47" spans="1:33" x14ac:dyDescent="0.35">
      <c r="A47" s="11" t="s">
        <v>96</v>
      </c>
      <c r="B47" s="19">
        <f>COUNTIFS('Input - Interior Design'!$G$3:$G$50,"Up to 3 years experience",'Input - Interior Design'!$H$3:$H$50,"M",'Input - Interior Design'!$I$3:$I$50,"QLD")</f>
        <v>0</v>
      </c>
      <c r="C47" s="20">
        <f>IFERROR(AVERAGEIFS('Input - Interior Design'!$F$3:$F$50,'Input - Interior Design'!$G$3:$G$50,"Up to 3 years experience",'Input - Interior Design'!$H$3:$H$50,"M",'Input - Interior Design'!$I$3:$I$50,"QLD"),0)</f>
        <v>0</v>
      </c>
      <c r="D47" s="20">
        <f>IFERROR(_xlfn.MINIFS('Input - Interior Design'!$F$3:$F$50,'Input - Interior Design'!$G$3:$G$50,"Up to 3 years experience",'Input - Interior Design'!$H$3:$H$50,"M",'Input - Interior Design'!$I$3:$I$50,"QLD"),0)</f>
        <v>0</v>
      </c>
      <c r="E47" s="21">
        <f>IFERROR(_xlfn.MAXIFS('Input - Interior Design'!$F$3:$F$50,'Input - Interior Design'!$G$3:$G$50,"Up to 3 years experience",'Input - Interior Design'!$H$3:$H$50,"M",'Input - Interior Design'!$I$3:$I$50,"QLD"),0)</f>
        <v>0</v>
      </c>
      <c r="F47" s="10">
        <f>COUNTIFS('Input - Interior Design'!$G$3:$G$50,"Up to 3 years experience",'Input - Interior Design'!$H$3:$H$50,"M",'Input - Interior Design'!$I$3:$I$50,"NSW")</f>
        <v>0</v>
      </c>
      <c r="G47" s="12">
        <f>IFERROR(AVERAGEIFS('Input - Interior Design'!$F$3:$F$50,'Input - Interior Design'!$G$3:$G$50,"Up to 3 years experience",'Input - Interior Design'!$H$3:$H$50,"M",'Input - Interior Design'!$I$3:$I$50,"NSW"),0)</f>
        <v>0</v>
      </c>
      <c r="H47" s="12">
        <f>IFERROR(_xlfn.MINIFS('Input - Interior Design'!$F$3:$F$50,'Input - Interior Design'!$G$3:$G$50,"Up to 3 years experience",'Input - Interior Design'!$H$3:$H$50,"M",'Input - Interior Design'!$I$3:$I$50,"NSW"),0)</f>
        <v>0</v>
      </c>
      <c r="I47" s="15">
        <f>IFERROR(_xlfn.MAXIFS('Input - Interior Design'!$F$3:$F$50,'Input - Interior Design'!$G$3:$G$50,"Up to 3 years experience",'Input - Interior Design'!$H$3:$H$50,"M",'Input - Interior Design'!$I$3:$I$50,"NSW"),0)</f>
        <v>0</v>
      </c>
      <c r="J47" s="19">
        <f>COUNTIFS('Input - Interior Design'!$G$3:$G$50,"Up to 3 years experience",'Input - Interior Design'!$H$3:$H$50,"M",'Input - Interior Design'!$I$3:$I$50,"VIC")</f>
        <v>0</v>
      </c>
      <c r="K47" s="20">
        <f>IFERROR(AVERAGEIFS('Input - Interior Design'!$F$3:$F$50,'Input - Interior Design'!$G$3:$G$50,"Up to 3 years experience",'Input - Interior Design'!$H$3:$H$50,"M",'Input - Interior Design'!$I$3:$I$50,"VIC"),0)</f>
        <v>0</v>
      </c>
      <c r="L47" s="20">
        <f>IFERROR(_xlfn.MINIFS('Input - Interior Design'!$F$3:$F$50,'Input - Interior Design'!$G$3:$G$50,"Up to 3 years experience",'Input - Interior Design'!$H$3:$H$50,"M",'Input - Interior Design'!$I$3:$I$50,"VIC"),0)</f>
        <v>0</v>
      </c>
      <c r="M47" s="21">
        <f>IFERROR(_xlfn.MAXIFS('Input - Interior Design'!$F$3:$F$50,'Input - Interior Design'!$G$3:$G$50,"Up to 3 years experience",'Input - Interior Design'!$H$3:$H$50,"M",'Input - Interior Design'!$I$3:$I$50,"VIC"),0)</f>
        <v>0</v>
      </c>
      <c r="N47" s="10">
        <f>COUNTIFS('Input - Interior Design'!$G$3:$G$50,"Up to 3 years experience",'Input - Interior Design'!$H$3:$H$50,"M",'Input - Interior Design'!$I$3:$I$50,"SA")</f>
        <v>0</v>
      </c>
      <c r="O47" s="12">
        <f>IFERROR(AVERAGEIFS('Input - Interior Design'!$F$3:$F$50,'Input - Interior Design'!$G$3:$G$50,"Up to 3 years experience",'Input - Interior Design'!$H$3:$H$50,"M",'Input - Interior Design'!$I$3:$I$50,"SA"),0)</f>
        <v>0</v>
      </c>
      <c r="P47" s="12">
        <f>IFERROR(_xlfn.MINIFS('Input - Interior Design'!$F$3:$F$50,'Input - Interior Design'!$G$3:$G$50,"Up to 3 years experience",'Input - Interior Design'!$H$3:$H$50,"M",'Input - Interior Design'!$I$3:$I$50,"SA"),0)</f>
        <v>0</v>
      </c>
      <c r="Q47" s="15">
        <f>IFERROR(_xlfn.MAXIFS('Input - Interior Design'!$F$3:$F$50,'Input - Interior Design'!$G$3:$G$50,"Up to 3 years experience",'Input - Interior Design'!$H$3:$H$50,"M",'Input - Interior Design'!$I$3:$I$50,"SA"),0)</f>
        <v>0</v>
      </c>
      <c r="R47" s="19">
        <f>COUNTIFS('Input - Interior Design'!$G$3:$G$50,"Up to 3 years experience",'Input - Interior Design'!$H$3:$H$50,"M",'Input - Interior Design'!$I$3:$I$50,"WA")</f>
        <v>0</v>
      </c>
      <c r="S47" s="20">
        <f>IFERROR(AVERAGEIFS('Input - Interior Design'!$F$3:$F$50,'Input - Interior Design'!$G$3:$G$50,"Up to 3 years experience",'Input - Interior Design'!$H$3:$H$50,"M",'Input - Interior Design'!$I$3:$I$50,"WA"),0)</f>
        <v>0</v>
      </c>
      <c r="T47" s="20">
        <f>IFERROR(_xlfn.MINIFS('Input - Interior Design'!$F$3:$F$50,'Input - Interior Design'!$G$3:$G$50,"Up to 3 years experience",'Input - Interior Design'!$H$3:$H$50,"M",'Input - Interior Design'!$I$3:$I$50,"WA"),0)</f>
        <v>0</v>
      </c>
      <c r="U47" s="21">
        <f>IFERROR(_xlfn.MAXIFS('Input - Interior Design'!$F$3:$F$50,'Input - Interior Design'!$G$3:$G$50,"Up to 3 years experience",'Input - Interior Design'!$H$3:$H$50,"M",'Input - Interior Design'!$I$3:$I$50,"WA"),0)</f>
        <v>0</v>
      </c>
      <c r="V47" s="10">
        <f>COUNTIFS('Input - Interior Design'!$G$3:$G$50,"Up to 3 years experience",'Input - Interior Design'!$H$3:$H$50,"M",'Input - Interior Design'!$I$3:$I$50,"TAS")</f>
        <v>0</v>
      </c>
      <c r="W47" s="12">
        <f>IFERROR(AVERAGEIFS('Input - Interior Design'!$F$3:$F$50,'Input - Interior Design'!$G$3:$G$50,"Up to 3 years experience",'Input - Interior Design'!$H$3:$H$50,"M",'Input - Interior Design'!$I$3:$I$50,"TAS"),0)</f>
        <v>0</v>
      </c>
      <c r="X47" s="12">
        <f>IFERROR(_xlfn.MINIFS('Input - Interior Design'!$F$3:$F$50,'Input - Interior Design'!$G$3:$G$50,"Up to 3 years experience",'Input - Interior Design'!$H$3:$H$50,"M",'Input - Interior Design'!$I$3:$I$50,"TAS"),0)</f>
        <v>0</v>
      </c>
      <c r="Y47" s="15">
        <f>IFERROR(_xlfn.MAXIFS('Input - Interior Design'!$F$3:$F$50,'Input - Interior Design'!$G$3:$G$50,"Up to 3 years experience",'Input - Interior Design'!$H$3:$H$50,"M",'Input - Interior Design'!$I$3:$I$50,"TAS"),0)</f>
        <v>0</v>
      </c>
      <c r="Z47" s="19">
        <f>COUNTIFS('Input - Interior Design'!$G$3:$G$50,"Up to 3 years experience",'Input - Interior Design'!$H$3:$H$50,"M",'Input - Interior Design'!$I$3:$I$50,"NT")</f>
        <v>0</v>
      </c>
      <c r="AA47" s="20">
        <f>IFERROR(AVERAGEIFS('Input - Interior Design'!$F$3:$F$50,'Input - Interior Design'!$G$3:$G$50,"Up to 3 years experience",'Input - Interior Design'!$H$3:$H$50,"M",'Input - Interior Design'!$I$3:$I$50,"NT"),0)</f>
        <v>0</v>
      </c>
      <c r="AB47" s="20">
        <f>IFERROR(_xlfn.MINIFS('Input - Interior Design'!$F$3:$F$50,'Input - Interior Design'!$G$3:$G$50,"Up to 3 years experience",'Input - Interior Design'!$H$3:$H$50,"M",'Input - Interior Design'!$I$3:$I$50,"NT"),0)</f>
        <v>0</v>
      </c>
      <c r="AC47" s="21">
        <f>IFERROR(_xlfn.MAXIFS('Input - Interior Design'!$F$3:$F$50,'Input - Interior Design'!$G$3:$G$50,"Up to 3 years experience",'Input - Interior Design'!$H$3:$H$50,"M",'Input - Interior Design'!$I$3:$I$50,"NT"),0)</f>
        <v>0</v>
      </c>
      <c r="AD47" s="10">
        <f>COUNTIFS('Input - Interior Design'!$G$3:$G$50,"Up to 3 years experience",'Input - Interior Design'!$H$3:$H$50,"M",'Input - Interior Design'!$I$3:$I$50,"ACT")</f>
        <v>0</v>
      </c>
      <c r="AE47" s="12">
        <f>IFERROR(AVERAGEIFS('Input - Interior Design'!$F$3:$F$50,'Input - Interior Design'!$G$3:$G$50,"Up to 3 years experience",'Input - Interior Design'!$H$3:$H$50,"M",'Input - Interior Design'!$I$3:$I$50,"ACT"),0)</f>
        <v>0</v>
      </c>
      <c r="AF47" s="12">
        <f>IFERROR(_xlfn.MINIFS('Input - Interior Design'!$F$3:$F$50,'Input - Interior Design'!$G$3:$G$50,"Up to 3 years experience",'Input - Interior Design'!$H$3:$H$50,"M",'Input - Interior Design'!$I$3:$I$50,"ACT"),0)</f>
        <v>0</v>
      </c>
      <c r="AG47" s="15">
        <f>IFERROR(_xlfn.MAXIFS('Input - Interior Design'!$F$3:$F$50,'Input - Interior Design'!$G$3:$G$50,"Up to 3 years experience",'Input - Interior Design'!$H$3:$H$50,"M",'Input - Interior Design'!$I$3:$I$50,"ACT"),0)</f>
        <v>0</v>
      </c>
    </row>
    <row r="48" spans="1:33" x14ac:dyDescent="0.35">
      <c r="A48" s="11" t="s">
        <v>97</v>
      </c>
      <c r="B48" s="19">
        <f>COUNTIFS('Input - Interior Design'!$G$3:$G$50,"Up to 3 years experience",'Input - Interior Design'!$H$3:$H$50,"F",'Input - Interior Design'!$I$3:$I$50,"QLD")</f>
        <v>0</v>
      </c>
      <c r="C48" s="20">
        <f>IFERROR(AVERAGEIFS('Input - Interior Design'!$F$3:$F$50,'Input - Interior Design'!$G$3:$G$50,"Up to 3 years experience",'Input - Interior Design'!$H$3:$H$50,"F",'Input - Interior Design'!$I$3:$I$50,"QLD"),0)</f>
        <v>0</v>
      </c>
      <c r="D48" s="20">
        <f>IFERROR(_xlfn.MINIFS('Input - Interior Design'!$F$3:$F$50,'Input - Interior Design'!$G$3:$G$50,"Up to 3 years experience",'Input - Interior Design'!$H$3:$H$50,"F",'Input - Interior Design'!$I$3:$I$50,"QLD"),0)</f>
        <v>0</v>
      </c>
      <c r="E48" s="21">
        <f>IFERROR(_xlfn.MAXIFS('Input - Interior Design'!$F$3:$F$50,'Input - Interior Design'!$G$3:$G$50,"Up to 3 years experience",'Input - Interior Design'!$H$3:$H$50,"F",'Input - Interior Design'!$I$3:$I$50,"QLD"),0)</f>
        <v>0</v>
      </c>
      <c r="F48" s="10">
        <f>COUNTIFS('Input - Interior Design'!$G$3:$G$50,"Up to 3 years experience",'Input - Interior Design'!$H$3:$H$50,"F",'Input - Interior Design'!$I$3:$I$50,"NSW")</f>
        <v>0</v>
      </c>
      <c r="G48" s="12">
        <f>IFERROR(AVERAGEIFS('Input - Interior Design'!$F$3:$F$50,'Input - Interior Design'!$G$3:$G$50,"Up to 3 years experience",'Input - Interior Design'!$H$3:$H$50,"F",'Input - Interior Design'!$I$3:$I$50,"NSW"),0)</f>
        <v>0</v>
      </c>
      <c r="H48" s="12">
        <f>IFERROR(_xlfn.MINIFS('Input - Interior Design'!$F$3:$F$50,'Input - Interior Design'!$G$3:$G$50,"Up to 3 years experience",'Input - Interior Design'!$H$3:$H$50,"F",'Input - Interior Design'!$I$3:$I$50,"NSW"),0)</f>
        <v>0</v>
      </c>
      <c r="I48" s="15">
        <f>IFERROR(_xlfn.MAXIFS('Input - Interior Design'!$F$3:$F$50,'Input - Interior Design'!$G$3:$G$50,"Up to 3 years experience",'Input - Interior Design'!$H$3:$H$50,"F",'Input - Interior Design'!$I$3:$I$50,"NSW"),0)</f>
        <v>0</v>
      </c>
      <c r="J48" s="19">
        <f>COUNTIFS('Input - Interior Design'!$G$3:$G$50,"Up to 3 years experience",'Input - Interior Design'!$H$3:$H$50,"F",'Input - Interior Design'!$I$3:$I$50,"VIC")</f>
        <v>0</v>
      </c>
      <c r="K48" s="20">
        <f>IFERROR(AVERAGEIFS('Input - Interior Design'!$F$3:$F$50,'Input - Interior Design'!$G$3:$G$50,"Up to 3 years experience",'Input - Interior Design'!$H$3:$H$50,"F",'Input - Interior Design'!$I$3:$I$50,"VIC"),0)</f>
        <v>0</v>
      </c>
      <c r="L48" s="20">
        <f>IFERROR(_xlfn.MINIFS('Input - Interior Design'!$F$3:$F$50,'Input - Interior Design'!$G$3:$G$50,"Up to 3 years experience",'Input - Interior Design'!$H$3:$H$50,"F",'Input - Interior Design'!$I$3:$I$50,"VIC"),0)</f>
        <v>0</v>
      </c>
      <c r="M48" s="21">
        <f>IFERROR(_xlfn.MAXIFS('Input - Interior Design'!$F$3:$F$50,'Input - Interior Design'!$G$3:$G$50,"Up to 3 years experience",'Input - Interior Design'!$H$3:$H$50,"F",'Input - Interior Design'!$I$3:$I$50,"VIC"),0)</f>
        <v>0</v>
      </c>
      <c r="N48" s="10">
        <f>COUNTIFS('Input - Interior Design'!$G$3:$G$50,"Up to 3 years experience",'Input - Interior Design'!$H$3:$H$50,"F",'Input - Interior Design'!$I$3:$I$50,"SA")</f>
        <v>0</v>
      </c>
      <c r="O48" s="12">
        <f>IFERROR(AVERAGEIFS('Input - Interior Design'!$F$3:$F$50,'Input - Interior Design'!$G$3:$G$50,"Up to 3 years experience",'Input - Interior Design'!$H$3:$H$50,"F",'Input - Interior Design'!$I$3:$I$50,"SA"),0)</f>
        <v>0</v>
      </c>
      <c r="P48" s="12">
        <f>IFERROR(_xlfn.MINIFS('Input - Interior Design'!$F$3:$F$50,'Input - Interior Design'!$G$3:$G$50,"Up to 3 years experience",'Input - Interior Design'!$H$3:$H$50,"F",'Input - Interior Design'!$I$3:$I$50,"SA"),0)</f>
        <v>0</v>
      </c>
      <c r="Q48" s="15">
        <f>IFERROR(_xlfn.MAXIFS('Input - Interior Design'!$F$3:$F$50,'Input - Interior Design'!$G$3:$G$50,"Up to 3 years experience",'Input - Interior Design'!$H$3:$H$50,"F",'Input - Interior Design'!$I$3:$I$50,"SA"),0)</f>
        <v>0</v>
      </c>
      <c r="R48" s="19">
        <f>COUNTIFS('Input - Interior Design'!$G$3:$G$50,"Up to 3 years experience",'Input - Interior Design'!$H$3:$H$50,"F",'Input - Interior Design'!$I$3:$I$50,"WA")</f>
        <v>0</v>
      </c>
      <c r="S48" s="20">
        <f>IFERROR(AVERAGEIFS('Input - Interior Design'!$F$3:$F$50,'Input - Interior Design'!$G$3:$G$50,"Up to 3 years experience",'Input - Interior Design'!$H$3:$H$50,"F",'Input - Interior Design'!$I$3:$I$50,"WA"),0)</f>
        <v>0</v>
      </c>
      <c r="T48" s="20">
        <f>IFERROR(_xlfn.MINIFS('Input - Interior Design'!$F$3:$F$50,'Input - Interior Design'!$G$3:$G$50,"Up to 3 years experience",'Input - Interior Design'!$H$3:$H$50,"F",'Input - Interior Design'!$I$3:$I$50,"WA"),0)</f>
        <v>0</v>
      </c>
      <c r="U48" s="21">
        <f>IFERROR(_xlfn.MAXIFS('Input - Interior Design'!$F$3:$F$50,'Input - Interior Design'!$G$3:$G$50,"Up to 3 years experience",'Input - Interior Design'!$H$3:$H$50,"F",'Input - Interior Design'!$I$3:$I$50,"WA"),0)</f>
        <v>0</v>
      </c>
      <c r="V48" s="10">
        <f>COUNTIFS('Input - Interior Design'!$G$3:$G$50,"Up to 3 years experience",'Input - Interior Design'!$H$3:$H$50,"F",'Input - Interior Design'!$I$3:$I$50,"TAS")</f>
        <v>0</v>
      </c>
      <c r="W48" s="12">
        <f>IFERROR(AVERAGEIFS('Input - Interior Design'!$F$3:$F$50,'Input - Interior Design'!$G$3:$G$50,"Up to 3 years experience",'Input - Interior Design'!$H$3:$H$50,"F",'Input - Interior Design'!$I$3:$I$50,"TAS"),0)</f>
        <v>0</v>
      </c>
      <c r="X48" s="12">
        <f>IFERROR(_xlfn.MINIFS('Input - Interior Design'!$F$3:$F$50,'Input - Interior Design'!$G$3:$G$50,"Up to 3 years experience",'Input - Interior Design'!$H$3:$H$50,"F",'Input - Interior Design'!$I$3:$I$50,"TAS"),0)</f>
        <v>0</v>
      </c>
      <c r="Y48" s="15">
        <f>IFERROR(_xlfn.MAXIFS('Input - Interior Design'!$F$3:$F$50,'Input - Interior Design'!$G$3:$G$50,"Up to 3 years experience",'Input - Interior Design'!$H$3:$H$50,"F",'Input - Interior Design'!$I$3:$I$50,"TAS"),0)</f>
        <v>0</v>
      </c>
      <c r="Z48" s="19">
        <f>COUNTIFS('Input - Interior Design'!$G$3:$G$50,"Up to 3 years experience",'Input - Interior Design'!$H$3:$H$50,"F",'Input - Interior Design'!$I$3:$I$50,"NT")</f>
        <v>0</v>
      </c>
      <c r="AA48" s="20">
        <f>IFERROR(AVERAGEIFS('Input - Interior Design'!$F$3:$F$50,'Input - Interior Design'!$G$3:$G$50,"Up to 3 years experience",'Input - Interior Design'!$H$3:$H$50,"F",'Input - Interior Design'!$I$3:$I$50,"NT"),0)</f>
        <v>0</v>
      </c>
      <c r="AB48" s="20">
        <f>IFERROR(_xlfn.MINIFS('Input - Interior Design'!$F$3:$F$50,'Input - Interior Design'!$G$3:$G$50,"Up to 3 years experience",'Input - Interior Design'!$H$3:$H$50,"F",'Input - Interior Design'!$I$3:$I$50,"NT"),0)</f>
        <v>0</v>
      </c>
      <c r="AC48" s="21">
        <f>IFERROR(_xlfn.MAXIFS('Input - Interior Design'!$F$3:$F$50,'Input - Interior Design'!$G$3:$G$50,"Up to 3 years experience",'Input - Interior Design'!$H$3:$H$50,"F",'Input - Interior Design'!$I$3:$I$50,"NT"),0)</f>
        <v>0</v>
      </c>
      <c r="AD48" s="10">
        <f>COUNTIFS('Input - Interior Design'!$G$3:$G$50,"Up to 3 years experience",'Input - Interior Design'!$H$3:$H$50,"F",'Input - Interior Design'!$I$3:$I$50,"ACT")</f>
        <v>0</v>
      </c>
      <c r="AE48" s="12">
        <f>IFERROR(AVERAGEIFS('Input - Interior Design'!$F$3:$F$50,'Input - Interior Design'!$G$3:$G$50,"Up to 3 years experience",'Input - Interior Design'!$H$3:$H$50,"F",'Input - Interior Design'!$I$3:$I$50,"ACT"),0)</f>
        <v>0</v>
      </c>
      <c r="AF48" s="12">
        <f>IFERROR(_xlfn.MINIFS('Input - Interior Design'!$F$3:$F$50,'Input - Interior Design'!$G$3:$G$50,"Up to 3 years experience",'Input - Interior Design'!$H$3:$H$50,"F",'Input - Interior Design'!$I$3:$I$50,"ACT"),0)</f>
        <v>0</v>
      </c>
      <c r="AG48" s="15">
        <f>IFERROR(_xlfn.MAXIFS('Input - Interior Design'!$F$3:$F$50,'Input - Interior Design'!$G$3:$G$50,"Up to 3 years experience",'Input - Interior Design'!$H$3:$H$50,"F",'Input - Interior Design'!$I$3:$I$50,"ACT"),0)</f>
        <v>0</v>
      </c>
    </row>
    <row r="49" spans="1:33" x14ac:dyDescent="0.35">
      <c r="A49" s="11" t="s">
        <v>98</v>
      </c>
      <c r="B49" s="19">
        <f>COUNTIFS('Input - Interior Design'!$G$3:$G$50,"Up to 6 years experience",'Input - Interior Design'!$H$3:$H$50,"M",'Input - Interior Design'!$I$3:$I$50,"QLD")</f>
        <v>0</v>
      </c>
      <c r="C49" s="20">
        <f>IFERROR(AVERAGEIFS('Input - Interior Design'!$F$3:$F$50,'Input - Interior Design'!$G$3:$G$50,"Up to 6 years experience",'Input - Interior Design'!$H$3:$H$50,"M",'Input - Interior Design'!$I$3:$I$50,"QLD"),0)</f>
        <v>0</v>
      </c>
      <c r="D49" s="20">
        <f>IFERROR(_xlfn.MINIFS('Input - Interior Design'!$F$3:$F$50,'Input - Interior Design'!$G$3:$G$50,"Up to 6 years experience",'Input - Interior Design'!$H$3:$H$50,"M",'Input - Interior Design'!$I$3:$I$50,"QLD"),0)</f>
        <v>0</v>
      </c>
      <c r="E49" s="21">
        <f>IFERROR(_xlfn.MAXIFS('Input - Interior Design'!$F$3:$F$50,'Input - Interior Design'!$G$3:$G$50,"Up to 6 years experience",'Input - Interior Design'!$H$3:$H$50,"M",'Input - Interior Design'!$I$3:$I$50,"QLD"),0)</f>
        <v>0</v>
      </c>
      <c r="F49" s="10">
        <f>COUNTIFS('Input - Interior Design'!$G$3:$G$50,"Up to 6 years experience",'Input - Interior Design'!$H$3:$H$50,"M",'Input - Interior Design'!$I$3:$I$50,"NSW")</f>
        <v>0</v>
      </c>
      <c r="G49" s="12">
        <f>IFERROR(AVERAGEIFS('Input - Interior Design'!$F$3:$F$50,'Input - Interior Design'!$G$3:$G$50,"Up to 6 years experience",'Input - Interior Design'!$H$3:$H$50,"M",'Input - Interior Design'!$I$3:$I$50,"NSW"),0)</f>
        <v>0</v>
      </c>
      <c r="H49" s="12">
        <f>IFERROR(_xlfn.MINIFS('Input - Interior Design'!$F$3:$F$50,'Input - Interior Design'!$G$3:$G$50,"Up to 6 years experience",'Input - Interior Design'!$H$3:$H$50,"M",'Input - Interior Design'!$I$3:$I$50,"NSW"),0)</f>
        <v>0</v>
      </c>
      <c r="I49" s="15">
        <f>IFERROR(_xlfn.MAXIFS('Input - Interior Design'!$F$3:$F$50,'Input - Interior Design'!$G$3:$G$50,"Up to 6 years experience",'Input - Interior Design'!$H$3:$H$50,"M",'Input - Interior Design'!$I$3:$I$50,"NSW"),0)</f>
        <v>0</v>
      </c>
      <c r="J49" s="19">
        <f>COUNTIFS('Input - Interior Design'!$G$3:$G$50,"Up to 6 years experience",'Input - Interior Design'!$H$3:$H$50,"M",'Input - Interior Design'!$I$3:$I$50,"VIC")</f>
        <v>0</v>
      </c>
      <c r="K49" s="20">
        <f>IFERROR(AVERAGEIFS('Input - Interior Design'!$F$3:$F$50,'Input - Interior Design'!$G$3:$G$50,"Up to 6 years experience",'Input - Interior Design'!$H$3:$H$50,"M",'Input - Interior Design'!$I$3:$I$50,"VIC"),0)</f>
        <v>0</v>
      </c>
      <c r="L49" s="20">
        <f>IFERROR(_xlfn.MINIFS('Input - Interior Design'!$F$3:$F$50,'Input - Interior Design'!$G$3:$G$50,"Up to 6 years experience",'Input - Interior Design'!$H$3:$H$50,"M",'Input - Interior Design'!$I$3:$I$50,"VIC"),0)</f>
        <v>0</v>
      </c>
      <c r="M49" s="21">
        <f>IFERROR(_xlfn.MAXIFS('Input - Interior Design'!$F$3:$F$50,'Input - Interior Design'!$G$3:$G$50,"Up to 6 years experience",'Input - Interior Design'!$H$3:$H$50,"M",'Input - Interior Design'!$I$3:$I$50,"VIC"),0)</f>
        <v>0</v>
      </c>
      <c r="N49" s="10">
        <f>COUNTIFS('Input - Interior Design'!$G$3:$G$50,"Up to 6 years experience",'Input - Interior Design'!$H$3:$H$50,"M",'Input - Interior Design'!$I$3:$I$50,"SA")</f>
        <v>0</v>
      </c>
      <c r="O49" s="12">
        <f>IFERROR(AVERAGEIFS('Input - Interior Design'!$F$3:$F$50,'Input - Interior Design'!$G$3:$G$50,"Up to 6 years experience",'Input - Interior Design'!$H$3:$H$50,"M",'Input - Interior Design'!$I$3:$I$50,"SA"),0)</f>
        <v>0</v>
      </c>
      <c r="P49" s="12">
        <f>IFERROR(_xlfn.MINIFS('Input - Interior Design'!$F$3:$F$50,'Input - Interior Design'!$G$3:$G$50,"Up to 6 years experience",'Input - Interior Design'!$H$3:$H$50,"M",'Input - Interior Design'!$I$3:$I$50,"SA"),0)</f>
        <v>0</v>
      </c>
      <c r="Q49" s="15">
        <f>IFERROR(_xlfn.MAXIFS('Input - Interior Design'!$F$3:$F$50,'Input - Interior Design'!$G$3:$G$50,"Up to 6 years experience",'Input - Interior Design'!$H$3:$H$50,"M",'Input - Interior Design'!$I$3:$I$50,"SA"),0)</f>
        <v>0</v>
      </c>
      <c r="R49" s="19">
        <f>COUNTIFS('Input - Interior Design'!$G$3:$G$50,"Up to 6 years experience",'Input - Interior Design'!$H$3:$H$50,"M",'Input - Interior Design'!$I$3:$I$50,"WA")</f>
        <v>0</v>
      </c>
      <c r="S49" s="20">
        <f>IFERROR(AVERAGEIFS('Input - Interior Design'!$F$3:$F$50,'Input - Interior Design'!$G$3:$G$50,"Up to 6 years experience",'Input - Interior Design'!$H$3:$H$50,"M",'Input - Interior Design'!$I$3:$I$50,"WA"),0)</f>
        <v>0</v>
      </c>
      <c r="T49" s="20">
        <f>IFERROR(_xlfn.MINIFS('Input - Interior Design'!$F$3:$F$50,'Input - Interior Design'!$G$3:$G$50,"Up to 6 years experience",'Input - Interior Design'!$H$3:$H$50,"M",'Input - Interior Design'!$I$3:$I$50,"WA"),0)</f>
        <v>0</v>
      </c>
      <c r="U49" s="21">
        <f>IFERROR(_xlfn.MAXIFS('Input - Interior Design'!$F$3:$F$50,'Input - Interior Design'!$G$3:$G$50,"Up to 6 years experience",'Input - Interior Design'!$H$3:$H$50,"M",'Input - Interior Design'!$I$3:$I$50,"WA"),0)</f>
        <v>0</v>
      </c>
      <c r="V49" s="10">
        <f>COUNTIFS('Input - Interior Design'!$G$3:$G$50,"Up to 6 years experience",'Input - Interior Design'!$H$3:$H$50,"M",'Input - Interior Design'!$I$3:$I$50,"TAS")</f>
        <v>0</v>
      </c>
      <c r="W49" s="12">
        <f>IFERROR(AVERAGEIFS('Input - Interior Design'!$F$3:$F$50,'Input - Interior Design'!$G$3:$G$50,"Up to 6 years experience",'Input - Interior Design'!$H$3:$H$50,"M",'Input - Interior Design'!$I$3:$I$50,"TAS"),0)</f>
        <v>0</v>
      </c>
      <c r="X49" s="12">
        <f>IFERROR(_xlfn.MINIFS('Input - Interior Design'!$F$3:$F$50,'Input - Interior Design'!$G$3:$G$50,"Up to 6 years experience",'Input - Interior Design'!$H$3:$H$50,"M",'Input - Interior Design'!$I$3:$I$50,"TAS"),0)</f>
        <v>0</v>
      </c>
      <c r="Y49" s="15">
        <f>IFERROR(_xlfn.MAXIFS('Input - Interior Design'!$F$3:$F$50,'Input - Interior Design'!$G$3:$G$50,"Up to 6 years experience",'Input - Interior Design'!$H$3:$H$50,"M",'Input - Interior Design'!$I$3:$I$50,"TAS"),0)</f>
        <v>0</v>
      </c>
      <c r="Z49" s="19">
        <f>COUNTIFS('Input - Interior Design'!$G$3:$G$50,"Up to 6 years experience",'Input - Interior Design'!$H$3:$H$50,"M",'Input - Interior Design'!$I$3:$I$50,"NT")</f>
        <v>0</v>
      </c>
      <c r="AA49" s="20">
        <f>IFERROR(AVERAGEIFS('Input - Interior Design'!$F$3:$F$50,'Input - Interior Design'!$G$3:$G$50,"Up to 6 years experience",'Input - Interior Design'!$H$3:$H$50,"M",'Input - Interior Design'!$I$3:$I$50,"NT"),0)</f>
        <v>0</v>
      </c>
      <c r="AB49" s="20">
        <f>IFERROR(_xlfn.MINIFS('Input - Interior Design'!$F$3:$F$50,'Input - Interior Design'!$G$3:$G$50,"Up to 6 years experience",'Input - Interior Design'!$H$3:$H$50,"M",'Input - Interior Design'!$I$3:$I$50,"NT"),0)</f>
        <v>0</v>
      </c>
      <c r="AC49" s="21">
        <f>IFERROR(_xlfn.MAXIFS('Input - Interior Design'!$F$3:$F$50,'Input - Interior Design'!$G$3:$G$50,"Up to 6 years experience",'Input - Interior Design'!$H$3:$H$50,"M",'Input - Interior Design'!$I$3:$I$50,"NT"),0)</f>
        <v>0</v>
      </c>
      <c r="AD49" s="10">
        <f>COUNTIFS('Input - Interior Design'!$G$3:$G$50,"Up to 6 years experience",'Input - Interior Design'!$H$3:$H$50,"M",'Input - Interior Design'!$I$3:$I$50,"ACT")</f>
        <v>0</v>
      </c>
      <c r="AE49" s="12">
        <f>IFERROR(AVERAGEIFS('Input - Interior Design'!$F$3:$F$50,'Input - Interior Design'!$G$3:$G$50,"Up to 6 years experience",'Input - Interior Design'!$H$3:$H$50,"M",'Input - Interior Design'!$I$3:$I$50,"ACT"),0)</f>
        <v>0</v>
      </c>
      <c r="AF49" s="12">
        <f>IFERROR(_xlfn.MINIFS('Input - Interior Design'!$F$3:$F$50,'Input - Interior Design'!$G$3:$G$50,"Up to 6 years experience",'Input - Interior Design'!$H$3:$H$50,"M",'Input - Interior Design'!$I$3:$I$50,"ACT"),0)</f>
        <v>0</v>
      </c>
      <c r="AG49" s="15">
        <f>IFERROR(_xlfn.MAXIFS('Input - Interior Design'!$F$3:$F$50,'Input - Interior Design'!$G$3:$G$50,"Up to 6 years experience",'Input - Interior Design'!$H$3:$H$50,"M",'Input - Interior Design'!$I$3:$I$50,"ACT"),0)</f>
        <v>0</v>
      </c>
    </row>
    <row r="50" spans="1:33" x14ac:dyDescent="0.35">
      <c r="A50" s="11" t="s">
        <v>99</v>
      </c>
      <c r="B50" s="19">
        <f>COUNTIFS('Input - Interior Design'!$G$3:$G$50,"Up to 6 years experience",'Input - Interior Design'!$H$3:$H$50,"F",'Input - Interior Design'!$I$3:$I$50,"QLD")</f>
        <v>0</v>
      </c>
      <c r="C50" s="20">
        <f>IFERROR(AVERAGEIFS('Input - Interior Design'!$F$3:$F$50,'Input - Interior Design'!$G$3:$G$50,"Up to 6 years experience",'Input - Interior Design'!$H$3:$H$50,"F",'Input - Interior Design'!$I$3:$I$50,"QLD"),0)</f>
        <v>0</v>
      </c>
      <c r="D50" s="20">
        <f>IFERROR(_xlfn.MINIFS('Input - Interior Design'!$F$3:$F$50,'Input - Interior Design'!$G$3:$G$50,"Up to 6 years experience",'Input - Interior Design'!$H$3:$H$50,"F",'Input - Interior Design'!$I$3:$I$50,"QLD"),0)</f>
        <v>0</v>
      </c>
      <c r="E50" s="21">
        <f>IFERROR(_xlfn.MAXIFS('Input - Interior Design'!$F$3:$F$50,'Input - Interior Design'!$G$3:$G$50,"Up to 6 years experience",'Input - Interior Design'!$H$3:$H$50,"F",'Input - Interior Design'!$I$3:$I$50,"QLD"),0)</f>
        <v>0</v>
      </c>
      <c r="F50" s="10">
        <f>COUNTIFS('Input - Interior Design'!$G$3:$G$50,"Up to 6 years experience",'Input - Interior Design'!$H$3:$H$50,"F",'Input - Interior Design'!$I$3:$I$50,"NSW")</f>
        <v>0</v>
      </c>
      <c r="G50" s="12">
        <f>IFERROR(AVERAGEIFS('Input - Interior Design'!$F$3:$F$50,'Input - Interior Design'!$G$3:$G$50,"Up to 6 years experience",'Input - Interior Design'!$H$3:$H$50,"F",'Input - Interior Design'!$I$3:$I$50,"NSW"),0)</f>
        <v>0</v>
      </c>
      <c r="H50" s="12">
        <f>IFERROR(_xlfn.MINIFS('Input - Interior Design'!$F$3:$F$50,'Input - Interior Design'!$G$3:$G$50,"Up to 6 years experience",'Input - Interior Design'!$H$3:$H$50,"F",'Input - Interior Design'!$I$3:$I$50,"NSW"),0)</f>
        <v>0</v>
      </c>
      <c r="I50" s="15">
        <f>IFERROR(_xlfn.MAXIFS('Input - Interior Design'!$F$3:$F$50,'Input - Interior Design'!$G$3:$G$50,"Up to 6 years experience",'Input - Interior Design'!$H$3:$H$50,"F",'Input - Interior Design'!$I$3:$I$50,"NSW"),0)</f>
        <v>0</v>
      </c>
      <c r="J50" s="19">
        <f>COUNTIFS('Input - Interior Design'!$G$3:$G$50,"Up to 6 years experience",'Input - Interior Design'!$H$3:$H$50,"F",'Input - Interior Design'!$I$3:$I$50,"VIC")</f>
        <v>0</v>
      </c>
      <c r="K50" s="20">
        <f>IFERROR(AVERAGEIFS('Input - Interior Design'!$F$3:$F$50,'Input - Interior Design'!$G$3:$G$50,"Up to 6 years experience",'Input - Interior Design'!$H$3:$H$50,"F",'Input - Interior Design'!$I$3:$I$50,"VIC"),0)</f>
        <v>0</v>
      </c>
      <c r="L50" s="20">
        <f>IFERROR(_xlfn.MINIFS('Input - Interior Design'!$F$3:$F$50,'Input - Interior Design'!$G$3:$G$50,"Up to 6 years experience",'Input - Interior Design'!$H$3:$H$50,"F",'Input - Interior Design'!$I$3:$I$50,"VIC"),0)</f>
        <v>0</v>
      </c>
      <c r="M50" s="21">
        <f>IFERROR(_xlfn.MAXIFS('Input - Interior Design'!$F$3:$F$50,'Input - Interior Design'!$G$3:$G$50,"Up to 6 years experience",'Input - Interior Design'!$H$3:$H$50,"F",'Input - Interior Design'!$I$3:$I$50,"VIC"),0)</f>
        <v>0</v>
      </c>
      <c r="N50" s="10">
        <f>COUNTIFS('Input - Interior Design'!$G$3:$G$50,"Up to 6 years experience",'Input - Interior Design'!$H$3:$H$50,"F",'Input - Interior Design'!$I$3:$I$50,"SA")</f>
        <v>0</v>
      </c>
      <c r="O50" s="12">
        <f>IFERROR(AVERAGEIFS('Input - Interior Design'!$F$3:$F$50,'Input - Interior Design'!$G$3:$G$50,"Up to 6 years experience",'Input - Interior Design'!$H$3:$H$50,"F",'Input - Interior Design'!$I$3:$I$50,"SA"),0)</f>
        <v>0</v>
      </c>
      <c r="P50" s="12">
        <f>IFERROR(_xlfn.MINIFS('Input - Interior Design'!$F$3:$F$50,'Input - Interior Design'!$G$3:$G$50,"Up to 6 years experience",'Input - Interior Design'!$H$3:$H$50,"F",'Input - Interior Design'!$I$3:$I$50,"SA"),0)</f>
        <v>0</v>
      </c>
      <c r="Q50" s="15">
        <f>IFERROR(_xlfn.MAXIFS('Input - Interior Design'!$F$3:$F$50,'Input - Interior Design'!$G$3:$G$50,"Up to 6 years experience",'Input - Interior Design'!$H$3:$H$50,"F",'Input - Interior Design'!$I$3:$I$50,"SA"),0)</f>
        <v>0</v>
      </c>
      <c r="R50" s="19">
        <f>COUNTIFS('Input - Interior Design'!$G$3:$G$50,"Up to 6 years experience",'Input - Interior Design'!$H$3:$H$50,"F",'Input - Interior Design'!$I$3:$I$50,"WA")</f>
        <v>0</v>
      </c>
      <c r="S50" s="20">
        <f>IFERROR(AVERAGEIFS('Input - Interior Design'!$F$3:$F$50,'Input - Interior Design'!$G$3:$G$50,"Up to 6 years experience",'Input - Interior Design'!$H$3:$H$50,"F",'Input - Interior Design'!$I$3:$I$50,"WA"),0)</f>
        <v>0</v>
      </c>
      <c r="T50" s="20">
        <f>IFERROR(_xlfn.MINIFS('Input - Interior Design'!$F$3:$F$50,'Input - Interior Design'!$G$3:$G$50,"Up to 6 years experience",'Input - Interior Design'!$H$3:$H$50,"F",'Input - Interior Design'!$I$3:$I$50,"WA"),0)</f>
        <v>0</v>
      </c>
      <c r="U50" s="21">
        <f>IFERROR(_xlfn.MAXIFS('Input - Interior Design'!$F$3:$F$50,'Input - Interior Design'!$G$3:$G$50,"Up to 6 years experience",'Input - Interior Design'!$H$3:$H$50,"F",'Input - Interior Design'!$I$3:$I$50,"WA"),0)</f>
        <v>0</v>
      </c>
      <c r="V50" s="10">
        <f>COUNTIFS('Input - Interior Design'!$G$3:$G$50,"Up to 6 years experience",'Input - Interior Design'!$H$3:$H$50,"F",'Input - Interior Design'!$I$3:$I$50,"TAS")</f>
        <v>0</v>
      </c>
      <c r="W50" s="12">
        <f>IFERROR(AVERAGEIFS('Input - Interior Design'!$F$3:$F$50,'Input - Interior Design'!$G$3:$G$50,"Up to 6 years experience",'Input - Interior Design'!$H$3:$H$50,"F",'Input - Interior Design'!$I$3:$I$50,"TAS"),0)</f>
        <v>0</v>
      </c>
      <c r="X50" s="12">
        <f>IFERROR(_xlfn.MINIFS('Input - Interior Design'!$F$3:$F$50,'Input - Interior Design'!$G$3:$G$50,"Up to 6 years experience",'Input - Interior Design'!$H$3:$H$50,"F",'Input - Interior Design'!$I$3:$I$50,"TAS"),0)</f>
        <v>0</v>
      </c>
      <c r="Y50" s="15">
        <f>IFERROR(_xlfn.MAXIFS('Input - Interior Design'!$F$3:$F$50,'Input - Interior Design'!$G$3:$G$50,"Up to 6 years experience",'Input - Interior Design'!$H$3:$H$50,"F",'Input - Interior Design'!$I$3:$I$50,"TAS"),0)</f>
        <v>0</v>
      </c>
      <c r="Z50" s="19">
        <f>COUNTIFS('Input - Interior Design'!$G$3:$G$50,"Up to 6 years experience",'Input - Interior Design'!$H$3:$H$50,"F",'Input - Interior Design'!$I$3:$I$50,"NT")</f>
        <v>0</v>
      </c>
      <c r="AA50" s="20">
        <f>IFERROR(AVERAGEIFS('Input - Interior Design'!$F$3:$F$50,'Input - Interior Design'!$G$3:$G$50,"Up to 6 years experience",'Input - Interior Design'!$H$3:$H$50,"F",'Input - Interior Design'!$I$3:$I$50,"NT"),0)</f>
        <v>0</v>
      </c>
      <c r="AB50" s="20">
        <f>IFERROR(_xlfn.MINIFS('Input - Interior Design'!$F$3:$F$50,'Input - Interior Design'!$G$3:$G$50,"Up to 6 years experience",'Input - Interior Design'!$H$3:$H$50,"F",'Input - Interior Design'!$I$3:$I$50,"NT"),0)</f>
        <v>0</v>
      </c>
      <c r="AC50" s="21">
        <f>IFERROR(_xlfn.MAXIFS('Input - Interior Design'!$F$3:$F$50,'Input - Interior Design'!$G$3:$G$50,"Up to 6 years experience",'Input - Interior Design'!$H$3:$H$50,"F",'Input - Interior Design'!$I$3:$I$50,"NT"),0)</f>
        <v>0</v>
      </c>
      <c r="AD50" s="10">
        <f>COUNTIFS('Input - Interior Design'!$G$3:$G$50,"Up to 6 years experience",'Input - Interior Design'!$H$3:$H$50,"F",'Input - Interior Design'!$I$3:$I$50,"ACT")</f>
        <v>0</v>
      </c>
      <c r="AE50" s="12">
        <f>IFERROR(AVERAGEIFS('Input - Interior Design'!$F$3:$F$50,'Input - Interior Design'!$G$3:$G$50,"Up to 6 years experience",'Input - Interior Design'!$H$3:$H$50,"F",'Input - Interior Design'!$I$3:$I$50,"ACT"),0)</f>
        <v>0</v>
      </c>
      <c r="AF50" s="12">
        <f>IFERROR(_xlfn.MINIFS('Input - Interior Design'!$F$3:$F$50,'Input - Interior Design'!$G$3:$G$50,"Up to 6 years experience",'Input - Interior Design'!$H$3:$H$50,"F",'Input - Interior Design'!$I$3:$I$50,"ACT"),0)</f>
        <v>0</v>
      </c>
      <c r="AG50" s="15">
        <f>IFERROR(_xlfn.MAXIFS('Input - Interior Design'!$F$3:$F$50,'Input - Interior Design'!$G$3:$G$50,"Up to 6 years experience",'Input - Interior Design'!$H$3:$H$50,"F",'Input - Interior Design'!$I$3:$I$50,"ACT"),0)</f>
        <v>0</v>
      </c>
    </row>
    <row r="51" spans="1:33" x14ac:dyDescent="0.35">
      <c r="A51" s="11" t="s">
        <v>100</v>
      </c>
      <c r="B51" s="19">
        <f>COUNTIFS('Input - Interior Design'!$G$3:$G$50,"Over 6 years experience",'Input - Interior Design'!$H$3:$H$50,"M",'Input - Interior Design'!$I$3:$I$50,"QLD")</f>
        <v>0</v>
      </c>
      <c r="C51" s="20">
        <f>IFERROR(AVERAGEIFS('Input - Interior Design'!$F$3:$F$50,'Input - Interior Design'!$G$3:$G$50,"Over 6 years experience",'Input - Interior Design'!$H$3:$H$50,"M",'Input - Interior Design'!$I$3:$I$50,"QLD"),0)</f>
        <v>0</v>
      </c>
      <c r="D51" s="20">
        <f>IFERROR(_xlfn.MINIFS('Input - Interior Design'!$F$3:$F$50,'Input - Interior Design'!$G$3:$G$50,"Over 6 years experience",'Input - Interior Design'!$H$3:$H$50,"M",'Input - Interior Design'!$I$3:$I$50,"QLD"),0)</f>
        <v>0</v>
      </c>
      <c r="E51" s="21">
        <f>IFERROR(_xlfn.MAXIFS('Input - Interior Design'!$F$3:$F$50,'Input - Interior Design'!$G$3:$G$50,"Over 6 years experience",'Input - Interior Design'!$H$3:$H$50,"M",'Input - Interior Design'!$I$3:$I$50,"QLD"),0)</f>
        <v>0</v>
      </c>
      <c r="F51" s="10">
        <f>COUNTIFS('Input - Interior Design'!$G$3:$G$50,"Over 6 years experience",'Input - Interior Design'!$H$3:$H$50,"M",'Input - Interior Design'!$I$3:$I$50,"NSW")</f>
        <v>0</v>
      </c>
      <c r="G51" s="12">
        <f>IFERROR(AVERAGEIFS('Input - Interior Design'!$F$3:$F$50,'Input - Interior Design'!$G$3:$G$50,"Over 6 years experience",'Input - Interior Design'!$H$3:$H$50,"M",'Input - Interior Design'!$I$3:$I$50,"NSW"),0)</f>
        <v>0</v>
      </c>
      <c r="H51" s="12">
        <f>IFERROR(_xlfn.MINIFS('Input - Interior Design'!$F$3:$F$50,'Input - Interior Design'!$G$3:$G$50,"Over 6 years experience",'Input - Interior Design'!$H$3:$H$50,"M",'Input - Interior Design'!$I$3:$I$50,"NSW"),0)</f>
        <v>0</v>
      </c>
      <c r="I51" s="15">
        <f>IFERROR(_xlfn.MAXIFS('Input - Interior Design'!$F$3:$F$50,'Input - Interior Design'!$G$3:$G$50,"Over 6 years experience",'Input - Interior Design'!$H$3:$H$50,"M",'Input - Interior Design'!$I$3:$I$50,"NSW"),0)</f>
        <v>0</v>
      </c>
      <c r="J51" s="19">
        <f>COUNTIFS('Input - Interior Design'!$G$3:$G$50,"Over 6 years experience",'Input - Interior Design'!$H$3:$H$50,"M",'Input - Interior Design'!$I$3:$I$50,"VIC")</f>
        <v>0</v>
      </c>
      <c r="K51" s="20">
        <f>IFERROR(AVERAGEIFS('Input - Interior Design'!$F$3:$F$50,'Input - Interior Design'!$G$3:$G$50,"Over 6 years experience",'Input - Interior Design'!$H$3:$H$50,"M",'Input - Interior Design'!$I$3:$I$50,"VIC"),0)</f>
        <v>0</v>
      </c>
      <c r="L51" s="20">
        <f>IFERROR(_xlfn.MINIFS('Input - Interior Design'!$F$3:$F$50,'Input - Interior Design'!$G$3:$G$50,"Over 6 years experience",'Input - Interior Design'!$H$3:$H$50,"M",'Input - Interior Design'!$I$3:$I$50,"VIC"),0)</f>
        <v>0</v>
      </c>
      <c r="M51" s="21">
        <f>IFERROR(_xlfn.MAXIFS('Input - Interior Design'!$F$3:$F$50,'Input - Interior Design'!$G$3:$G$50,"Over 6 years experience",'Input - Interior Design'!$H$3:$H$50,"M",'Input - Interior Design'!$I$3:$I$50,"VIC"),0)</f>
        <v>0</v>
      </c>
      <c r="N51" s="10">
        <f>COUNTIFS('Input - Interior Design'!$G$3:$G$50,"Over 6 years experience",'Input - Interior Design'!$H$3:$H$50,"M",'Input - Interior Design'!$I$3:$I$50,"SA")</f>
        <v>0</v>
      </c>
      <c r="O51" s="12">
        <f>IFERROR(AVERAGEIFS('Input - Interior Design'!$F$3:$F$50,'Input - Interior Design'!$G$3:$G$50,"Over 6 years experience",'Input - Interior Design'!$H$3:$H$50,"M",'Input - Interior Design'!$I$3:$I$50,"SA"),0)</f>
        <v>0</v>
      </c>
      <c r="P51" s="12">
        <f>IFERROR(_xlfn.MINIFS('Input - Interior Design'!$F$3:$F$50,'Input - Interior Design'!$G$3:$G$50,"Over 6 years experience",'Input - Interior Design'!$H$3:$H$50,"M",'Input - Interior Design'!$I$3:$I$50,"SA"),0)</f>
        <v>0</v>
      </c>
      <c r="Q51" s="15">
        <f>IFERROR(_xlfn.MAXIFS('Input - Interior Design'!$F$3:$F$50,'Input - Interior Design'!$G$3:$G$50,"Over 6 years experience",'Input - Interior Design'!$H$3:$H$50,"M",'Input - Interior Design'!$I$3:$I$50,"SA"),0)</f>
        <v>0</v>
      </c>
      <c r="R51" s="19">
        <f>COUNTIFS('Input - Interior Design'!$G$3:$G$50,"Over 6 years experience",'Input - Interior Design'!$H$3:$H$50,"M",'Input - Interior Design'!$I$3:$I$50,"WA")</f>
        <v>0</v>
      </c>
      <c r="S51" s="20">
        <f>IFERROR(AVERAGEIFS('Input - Interior Design'!$F$3:$F$50,'Input - Interior Design'!$G$3:$G$50,"Over 6 years experience",'Input - Interior Design'!$H$3:$H$50,"M",'Input - Interior Design'!$I$3:$I$50,"WA"),0)</f>
        <v>0</v>
      </c>
      <c r="T51" s="20">
        <f>IFERROR(_xlfn.MINIFS('Input - Interior Design'!$F$3:$F$50,'Input - Interior Design'!$G$3:$G$50,"Over 6 years experience",'Input - Interior Design'!$H$3:$H$50,"M",'Input - Interior Design'!$I$3:$I$50,"WA"),0)</f>
        <v>0</v>
      </c>
      <c r="U51" s="21">
        <f>IFERROR(_xlfn.MAXIFS('Input - Interior Design'!$F$3:$F$50,'Input - Interior Design'!$G$3:$G$50,"Over 6 years experience",'Input - Interior Design'!$H$3:$H$50,"M",'Input - Interior Design'!$I$3:$I$50,"WA"),0)</f>
        <v>0</v>
      </c>
      <c r="V51" s="10">
        <f>COUNTIFS('Input - Interior Design'!$G$3:$G$50,"Over 6 years experience",'Input - Interior Design'!$H$3:$H$50,"M",'Input - Interior Design'!$I$3:$I$50,"TAS")</f>
        <v>0</v>
      </c>
      <c r="W51" s="12">
        <f>IFERROR(AVERAGEIFS('Input - Interior Design'!$F$3:$F$50,'Input - Interior Design'!$G$3:$G$50,"Over 6 years experience",'Input - Interior Design'!$H$3:$H$50,"M",'Input - Interior Design'!$I$3:$I$50,"TAS"),0)</f>
        <v>0</v>
      </c>
      <c r="X51" s="12">
        <f>IFERROR(_xlfn.MINIFS('Input - Interior Design'!$F$3:$F$50,'Input - Interior Design'!$G$3:$G$50,"Over 6 years experience",'Input - Interior Design'!$H$3:$H$50,"M",'Input - Interior Design'!$I$3:$I$50,"TAS"),0)</f>
        <v>0</v>
      </c>
      <c r="Y51" s="15">
        <f>IFERROR(_xlfn.MAXIFS('Input - Interior Design'!$F$3:$F$50,'Input - Interior Design'!$G$3:$G$50,"Over 6 years experience",'Input - Interior Design'!$H$3:$H$50,"M",'Input - Interior Design'!$I$3:$I$50,"TAS"),0)</f>
        <v>0</v>
      </c>
      <c r="Z51" s="19">
        <f>COUNTIFS('Input - Interior Design'!$G$3:$G$50,"Over 6 years experience",'Input - Interior Design'!$H$3:$H$50,"M",'Input - Interior Design'!$I$3:$I$50,"NT")</f>
        <v>0</v>
      </c>
      <c r="AA51" s="20">
        <f>IFERROR(AVERAGEIFS('Input - Interior Design'!$F$3:$F$50,'Input - Interior Design'!$G$3:$G$50,"Over 6 years experience",'Input - Interior Design'!$H$3:$H$50,"M",'Input - Interior Design'!$I$3:$I$50,"NT"),0)</f>
        <v>0</v>
      </c>
      <c r="AB51" s="20">
        <f>IFERROR(_xlfn.MINIFS('Input - Interior Design'!$F$3:$F$50,'Input - Interior Design'!$G$3:$G$50,"Over 6 years experience",'Input - Interior Design'!$H$3:$H$50,"M",'Input - Interior Design'!$I$3:$I$50,"NT"),0)</f>
        <v>0</v>
      </c>
      <c r="AC51" s="21">
        <f>IFERROR(_xlfn.MAXIFS('Input - Interior Design'!$F$3:$F$50,'Input - Interior Design'!$G$3:$G$50,"Over 6 years experience",'Input - Interior Design'!$H$3:$H$50,"M",'Input - Interior Design'!$I$3:$I$50,"NT"),0)</f>
        <v>0</v>
      </c>
      <c r="AD51" s="10">
        <f>COUNTIFS('Input - Interior Design'!$G$3:$G$50,"Over 6 years experience",'Input - Interior Design'!$H$3:$H$50,"M",'Input - Interior Design'!$I$3:$I$50,"ACT")</f>
        <v>0</v>
      </c>
      <c r="AE51" s="12">
        <f>IFERROR(AVERAGEIFS('Input - Interior Design'!$F$3:$F$50,'Input - Interior Design'!$G$3:$G$50,"Over 6 years experience",'Input - Interior Design'!$H$3:$H$50,"M",'Input - Interior Design'!$I$3:$I$50,"ACT"),0)</f>
        <v>0</v>
      </c>
      <c r="AF51" s="12">
        <f>IFERROR(_xlfn.MINIFS('Input - Interior Design'!$F$3:$F$50,'Input - Interior Design'!$G$3:$G$50,"Over 6 years experience",'Input - Interior Design'!$H$3:$H$50,"M",'Input - Interior Design'!$I$3:$I$50,"ACT"),0)</f>
        <v>0</v>
      </c>
      <c r="AG51" s="15">
        <f>IFERROR(_xlfn.MAXIFS('Input - Interior Design'!$F$3:$F$50,'Input - Interior Design'!$G$3:$G$50,"Over 6 years experience",'Input - Interior Design'!$H$3:$H$50,"M",'Input - Interior Design'!$I$3:$I$50,"ACT"),0)</f>
        <v>0</v>
      </c>
    </row>
    <row r="52" spans="1:33" ht="15" thickBot="1" x14ac:dyDescent="0.4">
      <c r="A52" s="14" t="s">
        <v>101</v>
      </c>
      <c r="B52" s="22">
        <f>COUNTIFS('Input - Interior Design'!$G$3:$G$50,"Over 6 years experience",'Input - Interior Design'!$H$3:$H$50,"F",'Input - Interior Design'!$I$3:$I$50,"QLD")</f>
        <v>0</v>
      </c>
      <c r="C52" s="23">
        <f>IFERROR(AVERAGEIFS('Input - Interior Design'!$F$3:$F$50,'Input - Interior Design'!$G$3:$G$50,"Over 6 years experience",'Input - Interior Design'!$H$3:$H$50,"F",'Input - Interior Design'!$I$3:$I$50,"QLD"),0)</f>
        <v>0</v>
      </c>
      <c r="D52" s="23">
        <f>IFERROR(_xlfn.MINIFS('Input - Interior Design'!$F$3:$F$50,'Input - Interior Design'!$G$3:$G$50,"Over 6 years experience",'Input - Interior Design'!$H$3:$H$50,"F",'Input - Interior Design'!$I$3:$I$50,"QLD"),0)</f>
        <v>0</v>
      </c>
      <c r="E52" s="24">
        <f>IFERROR(_xlfn.MAXIFS('Input - Interior Design'!$F$3:$F$50,'Input - Interior Design'!$G$3:$G$50,"Over 6 years experience",'Input - Interior Design'!$H$3:$H$50,"F",'Input - Interior Design'!$I$3:$I$50,"QLD"),0)</f>
        <v>0</v>
      </c>
      <c r="F52" s="16">
        <f>COUNTIFS('Input - Interior Design'!$G$3:$G$50,"Over 6 years experience",'Input - Interior Design'!$H$3:$H$50,"F",'Input - Interior Design'!$I$3:$I$50,"NSW")</f>
        <v>0</v>
      </c>
      <c r="G52" s="17">
        <f>IFERROR(AVERAGEIFS('Input - Interior Design'!$F$3:$F$50,'Input - Interior Design'!$G$3:$G$50,"Over 6 years experience",'Input - Interior Design'!$H$3:$H$50,"F",'Input - Interior Design'!$I$3:$I$50,"NSW"),0)</f>
        <v>0</v>
      </c>
      <c r="H52" s="17">
        <f>IFERROR(_xlfn.MINIFS('Input - Interior Design'!$F$3:$F$50,'Input - Interior Design'!$G$3:$G$50,"Over 6 years experience",'Input - Interior Design'!$H$3:$H$50,"F",'Input - Interior Design'!$I$3:$I$50,"NSW"),0)</f>
        <v>0</v>
      </c>
      <c r="I52" s="18">
        <f>IFERROR(_xlfn.MAXIFS('Input - Interior Design'!$F$3:$F$50,'Input - Interior Design'!$G$3:$G$50,"Over 6 years experience",'Input - Interior Design'!$H$3:$H$50,"F",'Input - Interior Design'!$I$3:$I$50,"NSW"),0)</f>
        <v>0</v>
      </c>
      <c r="J52" s="22">
        <f>COUNTIFS('Input - Interior Design'!$G$3:$G$50,"Over 6 years experience",'Input - Interior Design'!$H$3:$H$50,"F",'Input - Interior Design'!$I$3:$I$50,"VIC")</f>
        <v>0</v>
      </c>
      <c r="K52" s="23">
        <f>IFERROR(AVERAGEIFS('Input - Interior Design'!$F$3:$F$50,'Input - Interior Design'!$G$3:$G$50,"Over 6 years experience",'Input - Interior Design'!$H$3:$H$50,"F",'Input - Interior Design'!$I$3:$I$50,"VIC"),0)</f>
        <v>0</v>
      </c>
      <c r="L52" s="23">
        <f>IFERROR(_xlfn.MINIFS('Input - Interior Design'!$F$3:$F$50,'Input - Interior Design'!$G$3:$G$50,"Over 6 years experience",'Input - Interior Design'!$H$3:$H$50,"F",'Input - Interior Design'!$I$3:$I$50,"VIC"),0)</f>
        <v>0</v>
      </c>
      <c r="M52" s="24">
        <f>IFERROR(_xlfn.MAXIFS('Input - Interior Design'!$F$3:$F$50,'Input - Interior Design'!$G$3:$G$50,"Over 6 years experience",'Input - Interior Design'!$H$3:$H$50,"F",'Input - Interior Design'!$I$3:$I$50,"VIC"),0)</f>
        <v>0</v>
      </c>
      <c r="N52" s="16">
        <f>COUNTIFS('Input - Interior Design'!$G$3:$G$50,"Over 6 years experience",'Input - Interior Design'!$H$3:$H$50,"F",'Input - Interior Design'!$I$3:$I$50,"SA")</f>
        <v>0</v>
      </c>
      <c r="O52" s="17">
        <f>IFERROR(AVERAGEIFS('Input - Interior Design'!$F$3:$F$50,'Input - Interior Design'!$G$3:$G$50,"Over 6 years experience",'Input - Interior Design'!$H$3:$H$50,"F",'Input - Interior Design'!$I$3:$I$50,"SA"),0)</f>
        <v>0</v>
      </c>
      <c r="P52" s="17">
        <f>IFERROR(_xlfn.MINIFS('Input - Interior Design'!$F$3:$F$50,'Input - Interior Design'!$G$3:$G$50,"Over 6 years experience",'Input - Interior Design'!$H$3:$H$50,"F",'Input - Interior Design'!$I$3:$I$50,"SA"),0)</f>
        <v>0</v>
      </c>
      <c r="Q52" s="18">
        <f>IFERROR(_xlfn.MAXIFS('Input - Interior Design'!$F$3:$F$50,'Input - Interior Design'!$G$3:$G$50,"Over 6 years experience",'Input - Interior Design'!$H$3:$H$50,"F",'Input - Interior Design'!$I$3:$I$50,"SA"),0)</f>
        <v>0</v>
      </c>
      <c r="R52" s="22">
        <f>COUNTIFS('Input - Interior Design'!$G$3:$G$50,"Over 6 years experience",'Input - Interior Design'!$H$3:$H$50,"F",'Input - Interior Design'!$I$3:$I$50,"WA")</f>
        <v>0</v>
      </c>
      <c r="S52" s="23">
        <f>IFERROR(AVERAGEIFS('Input - Interior Design'!$F$3:$F$50,'Input - Interior Design'!$G$3:$G$50,"Over 6 years experience",'Input - Interior Design'!$H$3:$H$50,"F",'Input - Interior Design'!$I$3:$I$50,"WA"),0)</f>
        <v>0</v>
      </c>
      <c r="T52" s="23">
        <f>IFERROR(_xlfn.MINIFS('Input - Interior Design'!$F$3:$F$50,'Input - Interior Design'!$G$3:$G$50,"Over 6 years experience",'Input - Interior Design'!$H$3:$H$50,"F",'Input - Interior Design'!$I$3:$I$50,"WA"),0)</f>
        <v>0</v>
      </c>
      <c r="U52" s="24">
        <f>IFERROR(_xlfn.MAXIFS('Input - Interior Design'!$F$3:$F$50,'Input - Interior Design'!$G$3:$G$50,"Over 6 years experience",'Input - Interior Design'!$H$3:$H$50,"F",'Input - Interior Design'!$I$3:$I$50,"WA"),0)</f>
        <v>0</v>
      </c>
      <c r="V52" s="16">
        <f>COUNTIFS('Input - Interior Design'!$G$3:$G$50,"Over 6 years experience",'Input - Interior Design'!$H$3:$H$50,"F",'Input - Interior Design'!$I$3:$I$50,"TAS")</f>
        <v>0</v>
      </c>
      <c r="W52" s="17">
        <f>IFERROR(AVERAGEIFS('Input - Interior Design'!$F$3:$F$50,'Input - Interior Design'!$G$3:$G$50,"Over 6 years experience",'Input - Interior Design'!$H$3:$H$50,"F",'Input - Interior Design'!$I$3:$I$50,"TAS"),0)</f>
        <v>0</v>
      </c>
      <c r="X52" s="17">
        <f>IFERROR(_xlfn.MINIFS('Input - Interior Design'!$F$3:$F$50,'Input - Interior Design'!$G$3:$G$50,"Over 6 years experience",'Input - Interior Design'!$H$3:$H$50,"F",'Input - Interior Design'!$I$3:$I$50,"TAS"),0)</f>
        <v>0</v>
      </c>
      <c r="Y52" s="18">
        <f>IFERROR(_xlfn.MAXIFS('Input - Interior Design'!$F$3:$F$50,'Input - Interior Design'!$G$3:$G$50,"Over 6 years experience",'Input - Interior Design'!$H$3:$H$50,"F",'Input - Interior Design'!$I$3:$I$50,"TAS"),0)</f>
        <v>0</v>
      </c>
      <c r="Z52" s="22">
        <f>COUNTIFS('Input - Interior Design'!$G$3:$G$50,"Over 6 years experience",'Input - Interior Design'!$H$3:$H$50,"F",'Input - Interior Design'!$I$3:$I$50,"NT")</f>
        <v>0</v>
      </c>
      <c r="AA52" s="23">
        <f>IFERROR(AVERAGEIFS('Input - Interior Design'!$F$3:$F$50,'Input - Interior Design'!$G$3:$G$50,"Over 6 years experience",'Input - Interior Design'!$H$3:$H$50,"F",'Input - Interior Design'!$I$3:$I$50,"NT"),0)</f>
        <v>0</v>
      </c>
      <c r="AB52" s="23">
        <f>IFERROR(_xlfn.MINIFS('Input - Interior Design'!$F$3:$F$50,'Input - Interior Design'!$G$3:$G$50,"Over 6 years experience",'Input - Interior Design'!$H$3:$H$50,"F",'Input - Interior Design'!$I$3:$I$50,"NT"),0)</f>
        <v>0</v>
      </c>
      <c r="AC52" s="24">
        <f>IFERROR(_xlfn.MAXIFS('Input - Interior Design'!$F$3:$F$50,'Input - Interior Design'!$G$3:$G$50,"Over 6 years experience",'Input - Interior Design'!$H$3:$H$50,"F",'Input - Interior Design'!$I$3:$I$50,"NT"),0)</f>
        <v>0</v>
      </c>
      <c r="AD52" s="16">
        <f>COUNTIFS('Input - Interior Design'!$G$3:$G$50,"Over 6 years experience",'Input - Interior Design'!$H$3:$H$50,"F",'Input - Interior Design'!$I$3:$I$50,"ACT")</f>
        <v>0</v>
      </c>
      <c r="AE52" s="17">
        <f>IFERROR(AVERAGEIFS('Input - Interior Design'!$F$3:$F$50,'Input - Interior Design'!$G$3:$G$50,"Over 6 years experience",'Input - Interior Design'!$H$3:$H$50,"F",'Input - Interior Design'!$I$3:$I$50,"ACT"),0)</f>
        <v>0</v>
      </c>
      <c r="AF52" s="17">
        <f>IFERROR(_xlfn.MINIFS('Input - Interior Design'!$F$3:$F$50,'Input - Interior Design'!$G$3:$G$50,"Over 6 years experience",'Input - Interior Design'!$H$3:$H$50,"F",'Input - Interior Design'!$I$3:$I$50,"ACT"),0)</f>
        <v>0</v>
      </c>
      <c r="AG52" s="18">
        <f>IFERROR(_xlfn.MAXIFS('Input - Interior Design'!$F$3:$F$50,'Input - Interior Design'!$G$3:$G$50,"Over 6 years experience",'Input - Interior Design'!$H$3:$H$50,"F",'Input - Interior Design'!$I$3:$I$50,"ACT"),0)</f>
        <v>0</v>
      </c>
    </row>
    <row r="53" spans="1:33" x14ac:dyDescent="0.35">
      <c r="B53" s="5"/>
      <c r="C53" s="5"/>
      <c r="D53" s="5"/>
      <c r="E53" s="5"/>
      <c r="F53" s="5"/>
      <c r="G53" s="5"/>
      <c r="H53" s="5"/>
      <c r="I53" s="5"/>
    </row>
    <row r="54" spans="1:33" x14ac:dyDescent="0.35">
      <c r="B54" s="5"/>
      <c r="C54" s="5"/>
      <c r="D54" s="5"/>
      <c r="E54" s="5"/>
      <c r="F54" s="5"/>
      <c r="G54" s="5"/>
      <c r="H54" s="5"/>
      <c r="I54" s="5"/>
    </row>
    <row r="55" spans="1:33" ht="15" thickBot="1" x14ac:dyDescent="0.4">
      <c r="B55" s="5"/>
      <c r="C55" s="5"/>
      <c r="D55" s="5"/>
      <c r="E55" s="5"/>
    </row>
    <row r="56" spans="1:33" ht="29" thickBot="1" x14ac:dyDescent="0.7">
      <c r="A56" s="62" t="s">
        <v>102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4"/>
    </row>
    <row r="57" spans="1:33" ht="18.5" x14ac:dyDescent="0.45">
      <c r="A57" s="59"/>
      <c r="B57" s="65" t="s">
        <v>51</v>
      </c>
      <c r="C57" s="66"/>
      <c r="D57" s="66"/>
      <c r="E57" s="67"/>
      <c r="F57" s="65" t="s">
        <v>52</v>
      </c>
      <c r="G57" s="66"/>
      <c r="H57" s="66"/>
      <c r="I57" s="67"/>
      <c r="J57" s="65" t="s">
        <v>53</v>
      </c>
      <c r="K57" s="66"/>
      <c r="L57" s="66"/>
      <c r="M57" s="67"/>
      <c r="N57" s="65" t="s">
        <v>54</v>
      </c>
      <c r="O57" s="66"/>
      <c r="P57" s="66"/>
      <c r="Q57" s="67"/>
      <c r="R57" s="65" t="s">
        <v>55</v>
      </c>
      <c r="S57" s="66"/>
      <c r="T57" s="66"/>
      <c r="U57" s="67"/>
      <c r="V57" s="65" t="s">
        <v>56</v>
      </c>
      <c r="W57" s="66"/>
      <c r="X57" s="66"/>
      <c r="Y57" s="67"/>
      <c r="Z57" s="65" t="s">
        <v>57</v>
      </c>
      <c r="AA57" s="66"/>
      <c r="AB57" s="66"/>
      <c r="AC57" s="67"/>
      <c r="AD57" s="65" t="s">
        <v>42</v>
      </c>
      <c r="AE57" s="66"/>
      <c r="AF57" s="66"/>
      <c r="AG57" s="67"/>
    </row>
    <row r="58" spans="1:33" ht="15" thickBot="1" x14ac:dyDescent="0.4">
      <c r="A58" s="60" t="s">
        <v>32</v>
      </c>
      <c r="B58" s="7" t="s">
        <v>58</v>
      </c>
      <c r="C58" s="8" t="s">
        <v>59</v>
      </c>
      <c r="D58" s="8" t="s">
        <v>60</v>
      </c>
      <c r="E58" s="9" t="s">
        <v>61</v>
      </c>
      <c r="F58" s="7" t="s">
        <v>58</v>
      </c>
      <c r="G58" s="8" t="s">
        <v>59</v>
      </c>
      <c r="H58" s="8" t="s">
        <v>60</v>
      </c>
      <c r="I58" s="9" t="s">
        <v>61</v>
      </c>
      <c r="J58" s="7" t="s">
        <v>58</v>
      </c>
      <c r="K58" s="8" t="s">
        <v>59</v>
      </c>
      <c r="L58" s="8" t="s">
        <v>60</v>
      </c>
      <c r="M58" s="9" t="s">
        <v>61</v>
      </c>
      <c r="N58" s="7" t="s">
        <v>58</v>
      </c>
      <c r="O58" s="8" t="s">
        <v>59</v>
      </c>
      <c r="P58" s="8" t="s">
        <v>60</v>
      </c>
      <c r="Q58" s="9" t="s">
        <v>61</v>
      </c>
      <c r="R58" s="7" t="s">
        <v>58</v>
      </c>
      <c r="S58" s="8" t="s">
        <v>59</v>
      </c>
      <c r="T58" s="8" t="s">
        <v>60</v>
      </c>
      <c r="U58" s="9" t="s">
        <v>61</v>
      </c>
      <c r="V58" s="7" t="s">
        <v>58</v>
      </c>
      <c r="W58" s="8" t="s">
        <v>59</v>
      </c>
      <c r="X58" s="8" t="s">
        <v>60</v>
      </c>
      <c r="Y58" s="9" t="s">
        <v>61</v>
      </c>
      <c r="Z58" s="7" t="s">
        <v>58</v>
      </c>
      <c r="AA58" s="8" t="s">
        <v>59</v>
      </c>
      <c r="AB58" s="8" t="s">
        <v>60</v>
      </c>
      <c r="AC58" s="9" t="s">
        <v>61</v>
      </c>
      <c r="AD58" s="7" t="s">
        <v>58</v>
      </c>
      <c r="AE58" s="8" t="s">
        <v>59</v>
      </c>
      <c r="AF58" s="8" t="s">
        <v>60</v>
      </c>
      <c r="AG58" s="9" t="s">
        <v>61</v>
      </c>
    </row>
    <row r="59" spans="1:33" x14ac:dyDescent="0.35">
      <c r="A59" s="57" t="s">
        <v>103</v>
      </c>
      <c r="B59" s="19">
        <f>COUNTIFS('Input - Admin &amp; Management'!$G$3:$G$50,"Reception/General Office Clerk",'Input - Admin &amp; Management'!$H$3:$H$50,"M",'Input - Admin &amp; Management'!$I$3:$I$50,"QLD")</f>
        <v>0</v>
      </c>
      <c r="C59" s="20">
        <f>IFERROR(AVERAGEIFS('Input - Admin &amp; Management'!$F$3:$F$50,'Input - Admin &amp; Management'!$G$3:$G$50,"Reception/General Office Clerk",'Input - Admin &amp; Management'!$H$3:$H$50,"M",'Input - Admin &amp; Management'!$I$3:$I$50,"QLD"),0)</f>
        <v>0</v>
      </c>
      <c r="D59" s="20">
        <f>IFERROR(_xlfn.MINIFS('Input - Admin &amp; Management'!$F$3:$F$50,'Input - Admin &amp; Management'!$G$3:$G$50,"Reception/General Office Clerk",'Input - Admin &amp; Management'!$H$3:$H$50,"M",'Input - Admin &amp; Management'!$I$3:$I$50,"QLD"),0)</f>
        <v>0</v>
      </c>
      <c r="E59" s="21">
        <f>IFERROR(_xlfn.MAXIFS('Input - Admin &amp; Management'!$F$3:$F$50,'Input - Admin &amp; Management'!$G$3:$G$50,"Reception/General Office Clerk",'Input - Admin &amp; Management'!$H$3:$H$50,"M",'Input - Admin &amp; Management'!$I$3:$I$50,"QLD"),0)</f>
        <v>0</v>
      </c>
      <c r="F59" s="10">
        <f>COUNTIFS('Input - Admin &amp; Management'!$G$3:$G$50,"Reception/General Office Clerk",'Input - Admin &amp; Management'!$H$3:$H$50,"M",'Input - Admin &amp; Management'!$I$3:$I$50,"NSW")</f>
        <v>0</v>
      </c>
      <c r="G59" s="12">
        <f>IFERROR(AVERAGEIFS('Input - Admin &amp; Management'!$F$3:$F$50,'Input - Admin &amp; Management'!$G$3:$G$50,"Reception/General Office Clerk",'Input - Admin &amp; Management'!$H$3:$H$50,"M",'Input - Admin &amp; Management'!$I$3:$I$50,"NSW"),0)</f>
        <v>0</v>
      </c>
      <c r="H59" s="12">
        <f>IFERROR(_xlfn.MINIFS('Input - Admin &amp; Management'!$F$3:$F$50,'Input - Admin &amp; Management'!$G$3:$G$50,"Reception/General Office Clerk",'Input - Admin &amp; Management'!$H$3:$H$50,"M",'Input - Admin &amp; Management'!$I$3:$I$50,"NSW"),0)</f>
        <v>0</v>
      </c>
      <c r="I59" s="15">
        <f>IFERROR(_xlfn.MAXIFS('Input - Admin &amp; Management'!$F$3:$F$50,'Input - Admin &amp; Management'!$G$3:$G$50,"Reception/General Office Clerk",'Input - Admin &amp; Management'!$H$3:$H$50,"M",'Input - Admin &amp; Management'!$I$3:$I$50,"NSW"),0)</f>
        <v>0</v>
      </c>
      <c r="J59" s="19">
        <f>COUNTIFS('Input - Admin &amp; Management'!$G$3:$G$50,"Reception/General Office Clerk",'Input - Admin &amp; Management'!$H$3:$H$50,"M",'Input - Admin &amp; Management'!$I$3:$I$50,"VIC")</f>
        <v>0</v>
      </c>
      <c r="K59" s="20">
        <f>IFERROR(AVERAGEIFS('Input - Admin &amp; Management'!$F$3:$F$50,'Input - Admin &amp; Management'!$G$3:$G$50,"Reception/General Office Clerk",'Input - Admin &amp; Management'!$H$3:$H$50,"M",'Input - Admin &amp; Management'!$I$3:$I$50,"VIC"),0)</f>
        <v>0</v>
      </c>
      <c r="L59" s="20">
        <f>IFERROR(_xlfn.MINIFS('Input - Admin &amp; Management'!$F$3:$F$50,'Input - Admin &amp; Management'!$G$3:$G$50,"Reception/General Office Clerk",'Input - Admin &amp; Management'!$H$3:$H$50,"M",'Input - Admin &amp; Management'!$I$3:$I$50,"VIC"),0)</f>
        <v>0</v>
      </c>
      <c r="M59" s="21">
        <f>IFERROR(_xlfn.MAXIFS('Input - Admin &amp; Management'!$F$3:$F$50,'Input - Admin &amp; Management'!$G$3:$G$50,"Reception/General Office Clerk",'Input - Admin &amp; Management'!$H$3:$H$50,"M",'Input - Admin &amp; Management'!$I$3:$I$50,"VIC"),0)</f>
        <v>0</v>
      </c>
      <c r="N59" s="10">
        <f>COUNTIFS('Input - Admin &amp; Management'!$G$3:$G$50,"Reception/General Office Clerk",'Input - Admin &amp; Management'!$H$3:$H$50,"M",'Input - Admin &amp; Management'!$I$3:$I$50,"SA")</f>
        <v>0</v>
      </c>
      <c r="O59" s="12">
        <f>IFERROR(AVERAGEIFS('Input - Admin &amp; Management'!$F$3:$F$50,'Input - Admin &amp; Management'!$G$3:$G$50,"Reception/General Office Clerk",'Input - Admin &amp; Management'!$H$3:$H$50,"M",'Input - Admin &amp; Management'!$I$3:$I$50,"SA"),0)</f>
        <v>0</v>
      </c>
      <c r="P59" s="12">
        <f>IFERROR(_xlfn.MINIFS('Input - Admin &amp; Management'!$F$3:$F$50,'Input - Admin &amp; Management'!$G$3:$G$50,"Reception/General Office Clerk",'Input - Admin &amp; Management'!$H$3:$H$50,"M",'Input - Admin &amp; Management'!$I$3:$I$50,"SA"),0)</f>
        <v>0</v>
      </c>
      <c r="Q59" s="15">
        <f>IFERROR(_xlfn.MAXIFS('Input - Admin &amp; Management'!$F$3:$F$50,'Input - Admin &amp; Management'!$G$3:$G$50,"Reception/General Office Clerk",'Input - Admin &amp; Management'!$H$3:$H$50,"M",'Input - Admin &amp; Management'!$I$3:$I$50,"SA"),0)</f>
        <v>0</v>
      </c>
      <c r="R59" s="19">
        <f>COUNTIFS('Input - Admin &amp; Management'!$G$3:$G$50,"Reception/General Office Clerk",'Input - Admin &amp; Management'!$H$3:$H$50,"M",'Input - Admin &amp; Management'!$I$3:$I$50,"WA")</f>
        <v>0</v>
      </c>
      <c r="S59" s="20">
        <f>IFERROR(AVERAGEIFS('Input - Admin &amp; Management'!$F$3:$F$50,'Input - Admin &amp; Management'!$G$3:$G$50,"Reception/General Office Clerk",'Input - Admin &amp; Management'!$H$3:$H$50,"M",'Input - Admin &amp; Management'!$I$3:$I$50,"WA"),0)</f>
        <v>0</v>
      </c>
      <c r="T59" s="20">
        <f>IFERROR(_xlfn.MINIFS('Input - Admin &amp; Management'!$F$3:$F$50,'Input - Admin &amp; Management'!$G$3:$G$50,"Reception/General Office Clerk",'Input - Admin &amp; Management'!$H$3:$H$50,"M",'Input - Admin &amp; Management'!$I$3:$I$50,"WA"),0)</f>
        <v>0</v>
      </c>
      <c r="U59" s="21">
        <f>IFERROR(_xlfn.MAXIFS('Input - Admin &amp; Management'!$F$3:$F$50,'Input - Admin &amp; Management'!$G$3:$G$50,"Reception/General Office Clerk",'Input - Admin &amp; Management'!$H$3:$H$50,"M",'Input - Admin &amp; Management'!$I$3:$I$50,"WA"),0)</f>
        <v>0</v>
      </c>
      <c r="V59" s="10">
        <f>COUNTIFS('Input - Admin &amp; Management'!$G$3:$G$50,"Reception/General Office Clerk",'Input - Admin &amp; Management'!$H$3:$H$50,"M",'Input - Admin &amp; Management'!$I$3:$I$50,"TAS")</f>
        <v>0</v>
      </c>
      <c r="W59" s="12">
        <f>IFERROR(AVERAGEIFS('Input - Admin &amp; Management'!$F$3:$F$50,'Input - Admin &amp; Management'!$G$3:$G$50,"Reception/General Office Clerk",'Input - Admin &amp; Management'!$H$3:$H$50,"M",'Input - Admin &amp; Management'!$I$3:$I$50,"TAS"),0)</f>
        <v>0</v>
      </c>
      <c r="X59" s="12">
        <f>IFERROR(_xlfn.MINIFS('Input - Admin &amp; Management'!$F$3:$F$50,'Input - Admin &amp; Management'!$G$3:$G$50,"Reception/General Office Clerk",'Input - Admin &amp; Management'!$H$3:$H$50,"M",'Input - Admin &amp; Management'!$I$3:$I$50,"TAS"),0)</f>
        <v>0</v>
      </c>
      <c r="Y59" s="15">
        <f>IFERROR(_xlfn.MAXIFS('Input - Admin &amp; Management'!$F$3:$F$50,'Input - Admin &amp; Management'!$G$3:$G$50,"Reception/General Office Clerk",'Input - Admin &amp; Management'!$H$3:$H$50,"M",'Input - Admin &amp; Management'!$I$3:$I$50,"TAS"),0)</f>
        <v>0</v>
      </c>
      <c r="Z59" s="19">
        <f>COUNTIFS('Input - Admin &amp; Management'!$G$3:$G$50,"Reception/General Office Clerk",'Input - Admin &amp; Management'!$H$3:$H$50,"M",'Input - Admin &amp; Management'!$I$3:$I$50,"NT")</f>
        <v>0</v>
      </c>
      <c r="AA59" s="20">
        <f>IFERROR(AVERAGEIFS('Input - Admin &amp; Management'!$F$3:$F$50,'Input - Admin &amp; Management'!$G$3:$G$50,"Reception/General Office Clerk",'Input - Admin &amp; Management'!$H$3:$H$50,"M",'Input - Admin &amp; Management'!$I$3:$I$50,"NT"),0)</f>
        <v>0</v>
      </c>
      <c r="AB59" s="20">
        <f>IFERROR(_xlfn.MINIFS('Input - Admin &amp; Management'!$F$3:$F$50,'Input - Admin &amp; Management'!$G$3:$G$50,"Reception/General Office Clerk",'Input - Admin &amp; Management'!$H$3:$H$50,"M",'Input - Admin &amp; Management'!$I$3:$I$50,"NT"),0)</f>
        <v>0</v>
      </c>
      <c r="AC59" s="21">
        <f>IFERROR(_xlfn.MAXIFS('Input - Admin &amp; Management'!$F$3:$F$50,'Input - Admin &amp; Management'!$G$3:$G$50,"Reception/General Office Clerk",'Input - Admin &amp; Management'!$H$3:$H$50,"M",'Input - Admin &amp; Management'!$I$3:$I$50,"NT"),0)</f>
        <v>0</v>
      </c>
      <c r="AD59" s="10">
        <f>COUNTIFS('Input - Admin &amp; Management'!$G$3:$G$50,"Reception/General Office Clerk",'Input - Admin &amp; Management'!$H$3:$H$50,"M",'Input - Admin &amp; Management'!$I$3:$I$50,"ACT")</f>
        <v>0</v>
      </c>
      <c r="AE59" s="12">
        <f>IFERROR(AVERAGEIFS('Input - Admin &amp; Management'!$F$3:$F$50,'Input - Admin &amp; Management'!$G$3:$G$50,"Reception/General Office Clerk",'Input - Admin &amp; Management'!$H$3:$H$50,"M",'Input - Admin &amp; Management'!$I$3:$I$50,"ACT"),0)</f>
        <v>0</v>
      </c>
      <c r="AF59" s="12">
        <f>IFERROR(_xlfn.MINIFS('Input - Admin &amp; Management'!$F$3:$F$50,'Input - Admin &amp; Management'!$G$3:$G$50,"Reception/General Office Clerk",'Input - Admin &amp; Management'!$H$3:$H$50,"M",'Input - Admin &amp; Management'!$I$3:$I$50,"ACT"),0)</f>
        <v>0</v>
      </c>
      <c r="AG59" s="15">
        <f>IFERROR(_xlfn.MAXIFS('Input - Admin &amp; Management'!$F$3:$F$50,'Input - Admin &amp; Management'!$G$3:$G$50,"Reception/General Office Clerk",'Input - Admin &amp; Management'!$H$3:$H$50,"M",'Input - Admin &amp; Management'!$I$3:$I$50,"ACT"),0)</f>
        <v>0</v>
      </c>
    </row>
    <row r="60" spans="1:33" x14ac:dyDescent="0.35">
      <c r="A60" s="11" t="s">
        <v>104</v>
      </c>
      <c r="B60" s="19">
        <f>COUNTIFS('Input - Admin &amp; Management'!$G$3:$G$50,"Reception/General Office Clerk",'Input - Admin &amp; Management'!$H$3:$H$50,"F",'Input - Admin &amp; Management'!$I$3:$I$50,"QLD")</f>
        <v>0</v>
      </c>
      <c r="C60" s="20">
        <f>IFERROR(AVERAGEIFS('Input - Admin &amp; Management'!$F$3:$F$50,'Input - Admin &amp; Management'!$G$3:$G$50,"Reception/General Office Clerk",'Input - Admin &amp; Management'!$H$3:$H$50,"F",'Input - Admin &amp; Management'!$I$3:$I$50,"QLD"),0)</f>
        <v>0</v>
      </c>
      <c r="D60" s="20">
        <f>IFERROR(_xlfn.MINIFS('Input - Admin &amp; Management'!$F$3:$F$50,'Input - Admin &amp; Management'!$G$3:$G$50,"Reception/General Office Clerk",'Input - Admin &amp; Management'!$H$3:$H$50,"F",'Input - Admin &amp; Management'!$I$3:$I$50,"QLD"),0)</f>
        <v>0</v>
      </c>
      <c r="E60" s="21">
        <f>IFERROR(_xlfn.MAXIFS('Input - Admin &amp; Management'!$F$3:$F$50,'Input - Admin &amp; Management'!$G$3:$G$50,"Reception/General Office Clerk",'Input - Admin &amp; Management'!$H$3:$H$50,"F",'Input - Admin &amp; Management'!$I$3:$I$50,"QLD"),0)</f>
        <v>0</v>
      </c>
      <c r="F60" s="10">
        <f>COUNTIFS('Input - Admin &amp; Management'!$G$3:$G$50,"Reception/General Office Clerk",'Input - Admin &amp; Management'!$H$3:$H$50,"F",'Input - Admin &amp; Management'!$I$3:$I$50,"NSW")</f>
        <v>0</v>
      </c>
      <c r="G60" s="12">
        <f>IFERROR(AVERAGEIFS('Input - Admin &amp; Management'!$F$3:$F$50,'Input - Admin &amp; Management'!$G$3:$G$50,"Reception/General Office Clerk",'Input - Admin &amp; Management'!$H$3:$H$50,"F",'Input - Admin &amp; Management'!$I$3:$I$50,"NSW"),0)</f>
        <v>0</v>
      </c>
      <c r="H60" s="12">
        <f>IFERROR(_xlfn.MINIFS('Input - Admin &amp; Management'!$F$3:$F$50,'Input - Admin &amp; Management'!$G$3:$G$50,"Reception/General Office Clerk",'Input - Admin &amp; Management'!$H$3:$H$50,"F",'Input - Admin &amp; Management'!$I$3:$I$50,"NSW"),0)</f>
        <v>0</v>
      </c>
      <c r="I60" s="15">
        <f>IFERROR(_xlfn.MAXIFS('Input - Admin &amp; Management'!$F$3:$F$50,'Input - Admin &amp; Management'!$G$3:$G$50,"Reception/General Office Clerk",'Input - Admin &amp; Management'!$H$3:$H$50,"F",'Input - Admin &amp; Management'!$I$3:$I$50,"NSW"),0)</f>
        <v>0</v>
      </c>
      <c r="J60" s="19">
        <f>COUNTIFS('Input - Admin &amp; Management'!$G$3:$G$50,"Reception/General Office Clerk",'Input - Admin &amp; Management'!$H$3:$H$50,"F",'Input - Admin &amp; Management'!$I$3:$I$50,"VIC")</f>
        <v>0</v>
      </c>
      <c r="K60" s="20">
        <f>IFERROR(AVERAGEIFS('Input - Admin &amp; Management'!$F$3:$F$50,'Input - Admin &amp; Management'!$G$3:$G$50,"Reception/General Office Clerk",'Input - Admin &amp; Management'!$H$3:$H$50,"F",'Input - Admin &amp; Management'!$I$3:$I$50,"VIC"),0)</f>
        <v>0</v>
      </c>
      <c r="L60" s="20">
        <f>IFERROR(_xlfn.MINIFS('Input - Admin &amp; Management'!$F$3:$F$50,'Input - Admin &amp; Management'!$G$3:$G$50,"Reception/General Office Clerk",'Input - Admin &amp; Management'!$H$3:$H$50,"F",'Input - Admin &amp; Management'!$I$3:$I$50,"VIC"),0)</f>
        <v>0</v>
      </c>
      <c r="M60" s="21">
        <f>IFERROR(_xlfn.MAXIFS('Input - Admin &amp; Management'!$F$3:$F$50,'Input - Admin &amp; Management'!$G$3:$G$50,"Reception/General Office Clerk",'Input - Admin &amp; Management'!$H$3:$H$50,"F",'Input - Admin &amp; Management'!$I$3:$I$50,"VIC"),0)</f>
        <v>0</v>
      </c>
      <c r="N60" s="10">
        <f>COUNTIFS('Input - Admin &amp; Management'!$G$3:$G$50,"Reception/General Office Clerk",'Input - Admin &amp; Management'!$H$3:$H$50,"F",'Input - Admin &amp; Management'!$I$3:$I$50,"SA")</f>
        <v>0</v>
      </c>
      <c r="O60" s="12">
        <f>IFERROR(AVERAGEIFS('Input - Admin &amp; Management'!$F$3:$F$50,'Input - Admin &amp; Management'!$G$3:$G$50,"Reception/General Office Clerk",'Input - Admin &amp; Management'!$H$3:$H$50,"F",'Input - Admin &amp; Management'!$I$3:$I$50,"SA"),0)</f>
        <v>0</v>
      </c>
      <c r="P60" s="12">
        <f>IFERROR(_xlfn.MINIFS('Input - Admin &amp; Management'!$F$3:$F$50,'Input - Admin &amp; Management'!$G$3:$G$50,"Reception/General Office Clerk",'Input - Admin &amp; Management'!$H$3:$H$50,"F",'Input - Admin &amp; Management'!$I$3:$I$50,"SA"),0)</f>
        <v>0</v>
      </c>
      <c r="Q60" s="15">
        <f>IFERROR(_xlfn.MAXIFS('Input - Admin &amp; Management'!$F$3:$F$50,'Input - Admin &amp; Management'!$G$3:$G$50,"Reception/General Office Clerk",'Input - Admin &amp; Management'!$H$3:$H$50,"F",'Input - Admin &amp; Management'!$I$3:$I$50,"SA"),0)</f>
        <v>0</v>
      </c>
      <c r="R60" s="19">
        <f>COUNTIFS('Input - Admin &amp; Management'!$G$3:$G$50,"Reception/General Office Clerk",'Input - Admin &amp; Management'!$H$3:$H$50,"F",'Input - Admin &amp; Management'!$I$3:$I$50,"WA")</f>
        <v>0</v>
      </c>
      <c r="S60" s="20">
        <f>IFERROR(AVERAGEIFS('Input - Admin &amp; Management'!$F$3:$F$50,'Input - Admin &amp; Management'!$G$3:$G$50,"Reception/General Office Clerk",'Input - Admin &amp; Management'!$H$3:$H$50,"F",'Input - Admin &amp; Management'!$I$3:$I$50,"WA"),0)</f>
        <v>0</v>
      </c>
      <c r="T60" s="20">
        <f>IFERROR(_xlfn.MINIFS('Input - Admin &amp; Management'!$F$3:$F$50,'Input - Admin &amp; Management'!$G$3:$G$50,"Reception/General Office Clerk",'Input - Admin &amp; Management'!$H$3:$H$50,"F",'Input - Admin &amp; Management'!$I$3:$I$50,"WA"),0)</f>
        <v>0</v>
      </c>
      <c r="U60" s="21">
        <f>IFERROR(_xlfn.MAXIFS('Input - Admin &amp; Management'!$F$3:$F$50,'Input - Admin &amp; Management'!$G$3:$G$50,"Reception/General Office Clerk",'Input - Admin &amp; Management'!$H$3:$H$50,"F",'Input - Admin &amp; Management'!$I$3:$I$50,"WA"),0)</f>
        <v>0</v>
      </c>
      <c r="V60" s="10">
        <f>COUNTIFS('Input - Admin &amp; Management'!$G$3:$G$50,"Reception/General Office Clerk",'Input - Admin &amp; Management'!$H$3:$H$50,"F",'Input - Admin &amp; Management'!$I$3:$I$50,"TAS")</f>
        <v>0</v>
      </c>
      <c r="W60" s="12">
        <f>IFERROR(AVERAGEIFS('Input - Admin &amp; Management'!$F$3:$F$50,'Input - Admin &amp; Management'!$G$3:$G$50,"Reception/General Office Clerk",'Input - Admin &amp; Management'!$H$3:$H$50,"F",'Input - Admin &amp; Management'!$I$3:$I$50,"TAS"),0)</f>
        <v>0</v>
      </c>
      <c r="X60" s="12">
        <f>IFERROR(_xlfn.MINIFS('Input - Admin &amp; Management'!$F$3:$F$50,'Input - Admin &amp; Management'!$G$3:$G$50,"Reception/General Office Clerk",'Input - Admin &amp; Management'!$H$3:$H$50,"F",'Input - Admin &amp; Management'!$I$3:$I$50,"TAS"),0)</f>
        <v>0</v>
      </c>
      <c r="Y60" s="15">
        <f>IFERROR(_xlfn.MAXIFS('Input - Admin &amp; Management'!$F$3:$F$50,'Input - Admin &amp; Management'!$G$3:$G$50,"Reception/General Office Clerk",'Input - Admin &amp; Management'!$H$3:$H$50,"F",'Input - Admin &amp; Management'!$I$3:$I$50,"TAS"),0)</f>
        <v>0</v>
      </c>
      <c r="Z60" s="19">
        <f>COUNTIFS('Input - Admin &amp; Management'!$G$3:$G$50,"Reception/General Office Clerk",'Input - Admin &amp; Management'!$H$3:$H$50,"F",'Input - Admin &amp; Management'!$I$3:$I$50,"NT")</f>
        <v>0</v>
      </c>
      <c r="AA60" s="20">
        <f>IFERROR(AVERAGEIFS('Input - Admin &amp; Management'!$F$3:$F$50,'Input - Admin &amp; Management'!$G$3:$G$50,"Reception/General Office Clerk",'Input - Admin &amp; Management'!$H$3:$H$50,"F",'Input - Admin &amp; Management'!$I$3:$I$50,"NT"),0)</f>
        <v>0</v>
      </c>
      <c r="AB60" s="20">
        <f>IFERROR(_xlfn.MINIFS('Input - Admin &amp; Management'!$F$3:$F$50,'Input - Admin &amp; Management'!$G$3:$G$50,"Reception/General Office Clerk",'Input - Admin &amp; Management'!$H$3:$H$50,"F",'Input - Admin &amp; Management'!$I$3:$I$50,"NT"),0)</f>
        <v>0</v>
      </c>
      <c r="AC60" s="21">
        <f>IFERROR(_xlfn.MAXIFS('Input - Admin &amp; Management'!$F$3:$F$50,'Input - Admin &amp; Management'!$G$3:$G$50,"Reception/General Office Clerk",'Input - Admin &amp; Management'!$H$3:$H$50,"F",'Input - Admin &amp; Management'!$I$3:$I$50,"NT"),0)</f>
        <v>0</v>
      </c>
      <c r="AD60" s="10">
        <f>COUNTIFS('Input - Admin &amp; Management'!$G$3:$G$50,"Reception/General Office Clerk",'Input - Admin &amp; Management'!$H$3:$H$50,"F",'Input - Admin &amp; Management'!$I$3:$I$50,"ACT")</f>
        <v>0</v>
      </c>
      <c r="AE60" s="12">
        <f>IFERROR(AVERAGEIFS('Input - Admin &amp; Management'!$F$3:$F$50,'Input - Admin &amp; Management'!$G$3:$G$50,"Reception/General Office Clerk",'Input - Admin &amp; Management'!$H$3:$H$50,"F",'Input - Admin &amp; Management'!$I$3:$I$50,"ACT"),0)</f>
        <v>0</v>
      </c>
      <c r="AF60" s="12">
        <f>IFERROR(_xlfn.MINIFS('Input - Admin &amp; Management'!$F$3:$F$50,'Input - Admin &amp; Management'!$G$3:$G$50,"Reception/General Office Clerk",'Input - Admin &amp; Management'!$H$3:$H$50,"F",'Input - Admin &amp; Management'!$I$3:$I$50,"ACT"),0)</f>
        <v>0</v>
      </c>
      <c r="AG60" s="15">
        <f>IFERROR(_xlfn.MAXIFS('Input - Admin &amp; Management'!$F$3:$F$50,'Input - Admin &amp; Management'!$G$3:$G$50,"Reception/General Office Clerk",'Input - Admin &amp; Management'!$H$3:$H$50,"F",'Input - Admin &amp; Management'!$I$3:$I$50,"ACT"),0)</f>
        <v>0</v>
      </c>
    </row>
    <row r="61" spans="1:33" x14ac:dyDescent="0.35">
      <c r="A61" s="11" t="s">
        <v>105</v>
      </c>
      <c r="B61" s="19">
        <f>COUNTIFS('Input - Admin &amp; Management'!$G$3:$G$50,"Personal Assistant",'Input - Admin &amp; Management'!$H$3:$H$50,"M",'Input - Admin &amp; Management'!$I$3:$I$50,"QLD")</f>
        <v>0</v>
      </c>
      <c r="C61" s="20">
        <f>IFERROR(AVERAGEIFS('Input - Admin &amp; Management'!$F$3:$F$50,'Input - Admin &amp; Management'!$G$3:$G$50,"Personal Assistant",'Input - Admin &amp; Management'!$H$3:$H$50,"M",'Input - Admin &amp; Management'!$I$3:$I$50,"QLD"),0)</f>
        <v>0</v>
      </c>
      <c r="D61" s="20">
        <f>IFERROR(_xlfn.MINIFS('Input - Admin &amp; Management'!$F$3:$F$50,'Input - Admin &amp; Management'!$G$3:$G$50,"Personal Assistant",'Input - Admin &amp; Management'!$H$3:$H$50,"M",'Input - Admin &amp; Management'!$I$3:$I$50,"QLD"),0)</f>
        <v>0</v>
      </c>
      <c r="E61" s="21">
        <f>IFERROR(_xlfn.MAXIFS('Input - Admin &amp; Management'!$F$3:$F$50,'Input - Admin &amp; Management'!$G$3:$G$50,"Personal Assistant",'Input - Admin &amp; Management'!$H$3:$H$50,"M",'Input - Admin &amp; Management'!$I$3:$I$50,"QLD"),0)</f>
        <v>0</v>
      </c>
      <c r="F61" s="10">
        <f>COUNTIFS('Input - Admin &amp; Management'!$G$3:$G$50,"Personal Assistant",'Input - Admin &amp; Management'!$H$3:$H$50,"M",'Input - Admin &amp; Management'!$I$3:$I$50,"NSW")</f>
        <v>0</v>
      </c>
      <c r="G61" s="12">
        <f>IFERROR(AVERAGEIFS('Input - Admin &amp; Management'!$F$3:$F$50,'Input - Admin &amp; Management'!$G$3:$G$50,"Personal Assistant",'Input - Admin &amp; Management'!$H$3:$H$50,"M",'Input - Admin &amp; Management'!$I$3:$I$50,"NSW"),0)</f>
        <v>0</v>
      </c>
      <c r="H61" s="12">
        <f>IFERROR(_xlfn.MINIFS('Input - Admin &amp; Management'!$F$3:$F$50,'Input - Admin &amp; Management'!$G$3:$G$50,"Personal Assistant",'Input - Admin &amp; Management'!$H$3:$H$50,"M",'Input - Admin &amp; Management'!$I$3:$I$50,"NSW"),0)</f>
        <v>0</v>
      </c>
      <c r="I61" s="15">
        <f>IFERROR(_xlfn.MAXIFS('Input - Admin &amp; Management'!$F$3:$F$50,'Input - Admin &amp; Management'!$G$3:$G$50,"Personal Assistant",'Input - Admin &amp; Management'!$H$3:$H$50,"M",'Input - Admin &amp; Management'!$I$3:$I$50,"NSW"),0)</f>
        <v>0</v>
      </c>
      <c r="J61" s="19">
        <f>COUNTIFS('Input - Admin &amp; Management'!$G$3:$G$50,"Personal Assistant",'Input - Admin &amp; Management'!$H$3:$H$50,"M",'Input - Admin &amp; Management'!$I$3:$I$50,"VIC")</f>
        <v>0</v>
      </c>
      <c r="K61" s="20">
        <f>IFERROR(AVERAGEIFS('Input - Admin &amp; Management'!$F$3:$F$50,'Input - Admin &amp; Management'!$G$3:$G$50,"Personal Assistant",'Input - Admin &amp; Management'!$H$3:$H$50,"M",'Input - Admin &amp; Management'!$I$3:$I$50,"VIC"),0)</f>
        <v>0</v>
      </c>
      <c r="L61" s="20">
        <f>IFERROR(_xlfn.MINIFS('Input - Admin &amp; Management'!$F$3:$F$50,'Input - Admin &amp; Management'!$G$3:$G$50,"Personal Assistant",'Input - Admin &amp; Management'!$H$3:$H$50,"M",'Input - Admin &amp; Management'!$I$3:$I$50,"VIC"),0)</f>
        <v>0</v>
      </c>
      <c r="M61" s="21">
        <f>IFERROR(_xlfn.MAXIFS('Input - Admin &amp; Management'!$F$3:$F$50,'Input - Admin &amp; Management'!$G$3:$G$50,"Personal Assistant",'Input - Admin &amp; Management'!$H$3:$H$50,"M",'Input - Admin &amp; Management'!$I$3:$I$50,"VIC"),0)</f>
        <v>0</v>
      </c>
      <c r="N61" s="10">
        <f>COUNTIFS('Input - Admin &amp; Management'!$G$3:$G$50,"Personal Assistant",'Input - Admin &amp; Management'!$H$3:$H$50,"M",'Input - Admin &amp; Management'!$I$3:$I$50,"SA")</f>
        <v>0</v>
      </c>
      <c r="O61" s="12">
        <f>IFERROR(AVERAGEIFS('Input - Admin &amp; Management'!$F$3:$F$50,'Input - Admin &amp; Management'!$G$3:$G$50,"Personal Assistant",'Input - Admin &amp; Management'!$H$3:$H$50,"M",'Input - Admin &amp; Management'!$I$3:$I$50,"SA"),0)</f>
        <v>0</v>
      </c>
      <c r="P61" s="12">
        <f>IFERROR(_xlfn.MINIFS('Input - Admin &amp; Management'!$F$3:$F$50,'Input - Admin &amp; Management'!$G$3:$G$50,"Personal Assistant",'Input - Admin &amp; Management'!$H$3:$H$50,"M",'Input - Admin &amp; Management'!$I$3:$I$50,"SA"),0)</f>
        <v>0</v>
      </c>
      <c r="Q61" s="15">
        <f>IFERROR(_xlfn.MAXIFS('Input - Admin &amp; Management'!$F$3:$F$50,'Input - Admin &amp; Management'!$G$3:$G$50,"Personal Assistant",'Input - Admin &amp; Management'!$H$3:$H$50,"M",'Input - Admin &amp; Management'!$I$3:$I$50,"SA"),0)</f>
        <v>0</v>
      </c>
      <c r="R61" s="19">
        <f>COUNTIFS('Input - Admin &amp; Management'!$G$3:$G$50,"Personal Assistant",'Input - Admin &amp; Management'!$H$3:$H$50,"M",'Input - Admin &amp; Management'!$I$3:$I$50,"WA")</f>
        <v>0</v>
      </c>
      <c r="S61" s="20">
        <f>IFERROR(AVERAGEIFS('Input - Admin &amp; Management'!$F$3:$F$50,'Input - Admin &amp; Management'!$G$3:$G$50,"Personal Assistant",'Input - Admin &amp; Management'!$H$3:$H$50,"M",'Input - Admin &amp; Management'!$I$3:$I$50,"WA"),0)</f>
        <v>0</v>
      </c>
      <c r="T61" s="20">
        <f>IFERROR(_xlfn.MINIFS('Input - Admin &amp; Management'!$F$3:$F$50,'Input - Admin &amp; Management'!$G$3:$G$50,"Personal Assistant",'Input - Admin &amp; Management'!$H$3:$H$50,"M",'Input - Admin &amp; Management'!$I$3:$I$50,"WA"),0)</f>
        <v>0</v>
      </c>
      <c r="U61" s="21">
        <f>IFERROR(_xlfn.MAXIFS('Input - Admin &amp; Management'!$F$3:$F$50,'Input - Admin &amp; Management'!$G$3:$G$50,"Personal Assistant",'Input - Admin &amp; Management'!$H$3:$H$50,"M",'Input - Admin &amp; Management'!$I$3:$I$50,"WA"),0)</f>
        <v>0</v>
      </c>
      <c r="V61" s="10">
        <f>COUNTIFS('Input - Admin &amp; Management'!$G$3:$G$50,"Personal Assistant",'Input - Admin &amp; Management'!$H$3:$H$50,"M",'Input - Admin &amp; Management'!$I$3:$I$50,"TAS")</f>
        <v>0</v>
      </c>
      <c r="W61" s="12">
        <f>IFERROR(AVERAGEIFS('Input - Admin &amp; Management'!$F$3:$F$50,'Input - Admin &amp; Management'!$G$3:$G$50,"Personal Assistant",'Input - Admin &amp; Management'!$H$3:$H$50,"M",'Input - Admin &amp; Management'!$I$3:$I$50,"TAS"),0)</f>
        <v>0</v>
      </c>
      <c r="X61" s="12">
        <f>IFERROR(_xlfn.MINIFS('Input - Admin &amp; Management'!$F$3:$F$50,'Input - Admin &amp; Management'!$G$3:$G$50,"Personal Assistant",'Input - Admin &amp; Management'!$H$3:$H$50,"M",'Input - Admin &amp; Management'!$I$3:$I$50,"TAS"),0)</f>
        <v>0</v>
      </c>
      <c r="Y61" s="15">
        <f>IFERROR(_xlfn.MAXIFS('Input - Admin &amp; Management'!$F$3:$F$50,'Input - Admin &amp; Management'!$G$3:$G$50,"Personal Assistant",'Input - Admin &amp; Management'!$H$3:$H$50,"M",'Input - Admin &amp; Management'!$I$3:$I$50,"TAS"),0)</f>
        <v>0</v>
      </c>
      <c r="Z61" s="19">
        <f>COUNTIFS('Input - Admin &amp; Management'!$G$3:$G$50,"Personal Assistant",'Input - Admin &amp; Management'!$H$3:$H$50,"M",'Input - Admin &amp; Management'!$I$3:$I$50,"NT")</f>
        <v>0</v>
      </c>
      <c r="AA61" s="20">
        <f>IFERROR(AVERAGEIFS('Input - Admin &amp; Management'!$F$3:$F$50,'Input - Admin &amp; Management'!$G$3:$G$50,"Personal Assistant",'Input - Admin &amp; Management'!$H$3:$H$50,"M",'Input - Admin &amp; Management'!$I$3:$I$50,"NT"),0)</f>
        <v>0</v>
      </c>
      <c r="AB61" s="20">
        <f>IFERROR(_xlfn.MINIFS('Input - Admin &amp; Management'!$F$3:$F$50,'Input - Admin &amp; Management'!$G$3:$G$50,"Personal Assistant",'Input - Admin &amp; Management'!$H$3:$H$50,"M",'Input - Admin &amp; Management'!$I$3:$I$50,"NT"),0)</f>
        <v>0</v>
      </c>
      <c r="AC61" s="21">
        <f>IFERROR(_xlfn.MAXIFS('Input - Admin &amp; Management'!$F$3:$F$50,'Input - Admin &amp; Management'!$G$3:$G$50,"Personal Assistant",'Input - Admin &amp; Management'!$H$3:$H$50,"M",'Input - Admin &amp; Management'!$I$3:$I$50,"NT"),0)</f>
        <v>0</v>
      </c>
      <c r="AD61" s="10">
        <f>COUNTIFS('Input - Admin &amp; Management'!$G$3:$G$50,"Personal Assistant",'Input - Admin &amp; Management'!$H$3:$H$50,"M",'Input - Admin &amp; Management'!$I$3:$I$50,"ACT")</f>
        <v>0</v>
      </c>
      <c r="AE61" s="12">
        <f>IFERROR(AVERAGEIFS('Input - Admin &amp; Management'!$F$3:$F$50,'Input - Admin &amp; Management'!$G$3:$G$50,"Personal Assistant",'Input - Admin &amp; Management'!$H$3:$H$50,"M",'Input - Admin &amp; Management'!$I$3:$I$50,"ACT"),0)</f>
        <v>0</v>
      </c>
      <c r="AF61" s="12">
        <f>IFERROR(_xlfn.MINIFS('Input - Admin &amp; Management'!$F$3:$F$50,'Input - Admin &amp; Management'!$G$3:$G$50,"Personal Assistant",'Input - Admin &amp; Management'!$H$3:$H$50,"M",'Input - Admin &amp; Management'!$I$3:$I$50,"ACT"),0)</f>
        <v>0</v>
      </c>
      <c r="AG61" s="15">
        <f>IFERROR(_xlfn.MAXIFS('Input - Admin &amp; Management'!$F$3:$F$50,'Input - Admin &amp; Management'!$G$3:$G$50,"Personal Assistant",'Input - Admin &amp; Management'!$H$3:$H$50,"M",'Input - Admin &amp; Management'!$I$3:$I$50,"ACT"),0)</f>
        <v>0</v>
      </c>
    </row>
    <row r="62" spans="1:33" x14ac:dyDescent="0.35">
      <c r="A62" s="11" t="s">
        <v>106</v>
      </c>
      <c r="B62" s="19">
        <f>COUNTIFS('Input - Admin &amp; Management'!$G$3:$G$50,"Personal Assistant",'Input - Admin &amp; Management'!$H$3:$H$50,"F",'Input - Admin &amp; Management'!$I$3:$I$50,"QLD")</f>
        <v>0</v>
      </c>
      <c r="C62" s="20">
        <f>IFERROR(AVERAGEIFS('Input - Admin &amp; Management'!$F$3:$F$50,'Input - Admin &amp; Management'!$G$3:$G$50,"Personal Assistant",'Input - Admin &amp; Management'!$H$3:$H$50,"F",'Input - Admin &amp; Management'!$I$3:$I$50,"QLD"),0)</f>
        <v>0</v>
      </c>
      <c r="D62" s="20">
        <f>IFERROR(_xlfn.MINIFS('Input - Admin &amp; Management'!$F$3:$F$50,'Input - Admin &amp; Management'!$G$3:$G$50,"Personal Assistant",'Input - Admin &amp; Management'!$H$3:$H$50,"F",'Input - Admin &amp; Management'!$I$3:$I$50,"QLD"),0)</f>
        <v>0</v>
      </c>
      <c r="E62" s="21">
        <f>IFERROR(_xlfn.MAXIFS('Input - Admin &amp; Management'!$F$3:$F$50,'Input - Admin &amp; Management'!$G$3:$G$50,"Personal Assistant",'Input - Admin &amp; Management'!$H$3:$H$50,"F",'Input - Admin &amp; Management'!$I$3:$I$50,"QLD"),0)</f>
        <v>0</v>
      </c>
      <c r="F62" s="10">
        <f>COUNTIFS('Input - Admin &amp; Management'!$G$3:$G$50,"Personal Assistant",'Input - Admin &amp; Management'!$H$3:$H$50,"F",'Input - Admin &amp; Management'!$I$3:$I$50,"NSW")</f>
        <v>0</v>
      </c>
      <c r="G62" s="12">
        <f>IFERROR(AVERAGEIFS('Input - Admin &amp; Management'!$F$3:$F$50,'Input - Admin &amp; Management'!$G$3:$G$50,"Personal Assistant",'Input - Admin &amp; Management'!$H$3:$H$50,"F",'Input - Admin &amp; Management'!$I$3:$I$50,"NSW"),0)</f>
        <v>0</v>
      </c>
      <c r="H62" s="12">
        <f>IFERROR(_xlfn.MINIFS('Input - Admin &amp; Management'!$F$3:$F$50,'Input - Admin &amp; Management'!$G$3:$G$50,"Personal Assistant",'Input - Admin &amp; Management'!$H$3:$H$50,"F",'Input - Admin &amp; Management'!$I$3:$I$50,"NSW"),0)</f>
        <v>0</v>
      </c>
      <c r="I62" s="15">
        <f>IFERROR(_xlfn.MAXIFS('Input - Admin &amp; Management'!$F$3:$F$50,'Input - Admin &amp; Management'!$G$3:$G$50,"Personal Assistant",'Input - Admin &amp; Management'!$H$3:$H$50,"F",'Input - Admin &amp; Management'!$I$3:$I$50,"NSW"),0)</f>
        <v>0</v>
      </c>
      <c r="J62" s="19">
        <f>COUNTIFS('Input - Admin &amp; Management'!$G$3:$G$50,"Personal Assistant",'Input - Admin &amp; Management'!$H$3:$H$50,"F",'Input - Admin &amp; Management'!$I$3:$I$50,"VIC")</f>
        <v>0</v>
      </c>
      <c r="K62" s="20">
        <f>IFERROR(AVERAGEIFS('Input - Admin &amp; Management'!$F$3:$F$50,'Input - Admin &amp; Management'!$G$3:$G$50,"Personal Assistant",'Input - Admin &amp; Management'!$H$3:$H$50,"F",'Input - Admin &amp; Management'!$I$3:$I$50,"VIC"),0)</f>
        <v>0</v>
      </c>
      <c r="L62" s="20">
        <f>IFERROR(_xlfn.MINIFS('Input - Admin &amp; Management'!$F$3:$F$50,'Input - Admin &amp; Management'!$G$3:$G$50,"Personal Assistant",'Input - Admin &amp; Management'!$H$3:$H$50,"F",'Input - Admin &amp; Management'!$I$3:$I$50,"VIC"),0)</f>
        <v>0</v>
      </c>
      <c r="M62" s="21">
        <f>IFERROR(_xlfn.MAXIFS('Input - Admin &amp; Management'!$F$3:$F$50,'Input - Admin &amp; Management'!$G$3:$G$50,"Personal Assistant",'Input - Admin &amp; Management'!$H$3:$H$50,"F",'Input - Admin &amp; Management'!$I$3:$I$50,"VIC"),0)</f>
        <v>0</v>
      </c>
      <c r="N62" s="10">
        <f>COUNTIFS('Input - Admin &amp; Management'!$G$3:$G$50,"Personal Assistant",'Input - Admin &amp; Management'!$H$3:$H$50,"F",'Input - Admin &amp; Management'!$I$3:$I$50,"SA")</f>
        <v>0</v>
      </c>
      <c r="O62" s="12">
        <f>IFERROR(AVERAGEIFS('Input - Admin &amp; Management'!$F$3:$F$50,'Input - Admin &amp; Management'!$G$3:$G$50,"Personal Assistant",'Input - Admin &amp; Management'!$H$3:$H$50,"F",'Input - Admin &amp; Management'!$I$3:$I$50,"SA"),0)</f>
        <v>0</v>
      </c>
      <c r="P62" s="12">
        <f>IFERROR(_xlfn.MINIFS('Input - Admin &amp; Management'!$F$3:$F$50,'Input - Admin &amp; Management'!$G$3:$G$50,"Personal Assistant",'Input - Admin &amp; Management'!$H$3:$H$50,"F",'Input - Admin &amp; Management'!$I$3:$I$50,"SA"),0)</f>
        <v>0</v>
      </c>
      <c r="Q62" s="15">
        <f>IFERROR(_xlfn.MAXIFS('Input - Admin &amp; Management'!$F$3:$F$50,'Input - Admin &amp; Management'!$G$3:$G$50,"Personal Assistant",'Input - Admin &amp; Management'!$H$3:$H$50,"F",'Input - Admin &amp; Management'!$I$3:$I$50,"SA"),0)</f>
        <v>0</v>
      </c>
      <c r="R62" s="19">
        <f>COUNTIFS('Input - Admin &amp; Management'!$G$3:$G$50,"Personal Assistant",'Input - Admin &amp; Management'!$H$3:$H$50,"F",'Input - Admin &amp; Management'!$I$3:$I$50,"WA")</f>
        <v>0</v>
      </c>
      <c r="S62" s="20">
        <f>IFERROR(AVERAGEIFS('Input - Admin &amp; Management'!$F$3:$F$50,'Input - Admin &amp; Management'!$G$3:$G$50,"Personal Assistant",'Input - Admin &amp; Management'!$H$3:$H$50,"F",'Input - Admin &amp; Management'!$I$3:$I$50,"WA"),0)</f>
        <v>0</v>
      </c>
      <c r="T62" s="20">
        <f>IFERROR(_xlfn.MINIFS('Input - Admin &amp; Management'!$F$3:$F$50,'Input - Admin &amp; Management'!$G$3:$G$50,"Personal Assistant",'Input - Admin &amp; Management'!$H$3:$H$50,"F",'Input - Admin &amp; Management'!$I$3:$I$50,"WA"),0)</f>
        <v>0</v>
      </c>
      <c r="U62" s="21">
        <f>IFERROR(_xlfn.MAXIFS('Input - Admin &amp; Management'!$F$3:$F$50,'Input - Admin &amp; Management'!$G$3:$G$50,"Personal Assistant",'Input - Admin &amp; Management'!$H$3:$H$50,"F",'Input - Admin &amp; Management'!$I$3:$I$50,"WA"),0)</f>
        <v>0</v>
      </c>
      <c r="V62" s="10">
        <f>COUNTIFS('Input - Admin &amp; Management'!$G$3:$G$50,"Personal Assistant",'Input - Admin &amp; Management'!$H$3:$H$50,"F",'Input - Admin &amp; Management'!$I$3:$I$50,"TAS")</f>
        <v>0</v>
      </c>
      <c r="W62" s="12">
        <f>IFERROR(AVERAGEIFS('Input - Admin &amp; Management'!$F$3:$F$50,'Input - Admin &amp; Management'!$G$3:$G$50,"Personal Assistant",'Input - Admin &amp; Management'!$H$3:$H$50,"F",'Input - Admin &amp; Management'!$I$3:$I$50,"TAS"),0)</f>
        <v>0</v>
      </c>
      <c r="X62" s="12">
        <f>IFERROR(_xlfn.MINIFS('Input - Admin &amp; Management'!$F$3:$F$50,'Input - Admin &amp; Management'!$G$3:$G$50,"Personal Assistant",'Input - Admin &amp; Management'!$H$3:$H$50,"F",'Input - Admin &amp; Management'!$I$3:$I$50,"TAS"),0)</f>
        <v>0</v>
      </c>
      <c r="Y62" s="15">
        <f>IFERROR(_xlfn.MAXIFS('Input - Admin &amp; Management'!$F$3:$F$50,'Input - Admin &amp; Management'!$G$3:$G$50,"Personal Assistant",'Input - Admin &amp; Management'!$H$3:$H$50,"F",'Input - Admin &amp; Management'!$I$3:$I$50,"TAS"),0)</f>
        <v>0</v>
      </c>
      <c r="Z62" s="19">
        <f>COUNTIFS('Input - Admin &amp; Management'!$G$3:$G$50,"Personal Assistant",'Input - Admin &amp; Management'!$H$3:$H$50,"F",'Input - Admin &amp; Management'!$I$3:$I$50,"NT")</f>
        <v>0</v>
      </c>
      <c r="AA62" s="20">
        <f>IFERROR(AVERAGEIFS('Input - Admin &amp; Management'!$F$3:$F$50,'Input - Admin &amp; Management'!$G$3:$G$50,"Personal Assistant",'Input - Admin &amp; Management'!$H$3:$H$50,"F",'Input - Admin &amp; Management'!$I$3:$I$50,"NT"),0)</f>
        <v>0</v>
      </c>
      <c r="AB62" s="20">
        <f>IFERROR(_xlfn.MINIFS('Input - Admin &amp; Management'!$F$3:$F$50,'Input - Admin &amp; Management'!$G$3:$G$50,"Personal Assistant",'Input - Admin &amp; Management'!$H$3:$H$50,"F",'Input - Admin &amp; Management'!$I$3:$I$50,"NT"),0)</f>
        <v>0</v>
      </c>
      <c r="AC62" s="21">
        <f>IFERROR(_xlfn.MAXIFS('Input - Admin &amp; Management'!$F$3:$F$50,'Input - Admin &amp; Management'!$G$3:$G$50,"Personal Assistant",'Input - Admin &amp; Management'!$H$3:$H$50,"F",'Input - Admin &amp; Management'!$I$3:$I$50,"NT"),0)</f>
        <v>0</v>
      </c>
      <c r="AD62" s="10">
        <f>COUNTIFS('Input - Admin &amp; Management'!$G$3:$G$50,"Personal Assistant",'Input - Admin &amp; Management'!$H$3:$H$50,"F",'Input - Admin &amp; Management'!$I$3:$I$50,"ACT")</f>
        <v>0</v>
      </c>
      <c r="AE62" s="12">
        <f>IFERROR(AVERAGEIFS('Input - Admin &amp; Management'!$F$3:$F$50,'Input - Admin &amp; Management'!$G$3:$G$50,"Personal Assistant",'Input - Admin &amp; Management'!$H$3:$H$50,"F",'Input - Admin &amp; Management'!$I$3:$I$50,"ACT"),0)</f>
        <v>0</v>
      </c>
      <c r="AF62" s="12">
        <f>IFERROR(_xlfn.MINIFS('Input - Admin &amp; Management'!$F$3:$F$50,'Input - Admin &amp; Management'!$G$3:$G$50,"Personal Assistant",'Input - Admin &amp; Management'!$H$3:$H$50,"F",'Input - Admin &amp; Management'!$I$3:$I$50,"ACT"),0)</f>
        <v>0</v>
      </c>
      <c r="AG62" s="15">
        <f>IFERROR(_xlfn.MAXIFS('Input - Admin &amp; Management'!$F$3:$F$50,'Input - Admin &amp; Management'!$G$3:$G$50,"Personal Assistant",'Input - Admin &amp; Management'!$H$3:$H$50,"F",'Input - Admin &amp; Management'!$I$3:$I$50,"ACT"),0)</f>
        <v>0</v>
      </c>
    </row>
    <row r="63" spans="1:33" x14ac:dyDescent="0.35">
      <c r="A63" s="11" t="s">
        <v>107</v>
      </c>
      <c r="B63" s="19">
        <f>COUNTIFS('Input - Admin &amp; Management'!$G$3:$G$50,"Inhouse IT Technician with qualification",'Input - Admin &amp; Management'!$H$3:$H$50,"M",'Input - Admin &amp; Management'!$I$3:$I$50,"QLD")</f>
        <v>0</v>
      </c>
      <c r="C63" s="20">
        <f>IFERROR(AVERAGEIFS('Input - Admin &amp; Management'!$F$3:$F$50,'Input - Admin &amp; Management'!$G$3:$G$50,"Inhouse IT Technician with qualification",'Input - Admin &amp; Management'!$H$3:$H$50,"M",'Input - Admin &amp; Management'!$I$3:$I$50,"QLD"),0)</f>
        <v>0</v>
      </c>
      <c r="D63" s="20">
        <f>IFERROR(_xlfn.MINIFS('Input - Admin &amp; Management'!$F$3:$F$50,'Input - Admin &amp; Management'!$G$3:$G$50,"Inhouse IT Technician with qualification",'Input - Admin &amp; Management'!$H$3:$H$50,"M",'Input - Admin &amp; Management'!$I$3:$I$50,"QLD"),0)</f>
        <v>0</v>
      </c>
      <c r="E63" s="21">
        <f>IFERROR(_xlfn.MAXIFS('Input - Admin &amp; Management'!$F$3:$F$50,'Input - Admin &amp; Management'!$G$3:$G$50,"Inhouse IT Technician with qualification",'Input - Admin &amp; Management'!$H$3:$H$50,"M",'Input - Admin &amp; Management'!$I$3:$I$50,"QLD"),0)</f>
        <v>0</v>
      </c>
      <c r="F63" s="10">
        <f>COUNTIFS('Input - Admin &amp; Management'!$G$3:$G$50,"Inhouse IT Technician with qualification",'Input - Admin &amp; Management'!$H$3:$H$50,"M",'Input - Admin &amp; Management'!$I$3:$I$50,"NSW")</f>
        <v>0</v>
      </c>
      <c r="G63" s="12">
        <f>IFERROR(AVERAGEIFS('Input - Admin &amp; Management'!$F$3:$F$50,'Input - Admin &amp; Management'!$G$3:$G$50,"Inhouse IT Technician with qualification",'Input - Admin &amp; Management'!$H$3:$H$50,"M",'Input - Admin &amp; Management'!$I$3:$I$50,"NSW"),0)</f>
        <v>0</v>
      </c>
      <c r="H63" s="12">
        <f>IFERROR(_xlfn.MINIFS('Input - Admin &amp; Management'!$F$3:$F$50,'Input - Admin &amp; Management'!$G$3:$G$50,"Inhouse IT Technician with qualification",'Input - Admin &amp; Management'!$H$3:$H$50,"M",'Input - Admin &amp; Management'!$I$3:$I$50,"NSW"),0)</f>
        <v>0</v>
      </c>
      <c r="I63" s="15">
        <f>IFERROR(_xlfn.MAXIFS('Input - Admin &amp; Management'!$F$3:$F$50,'Input - Admin &amp; Management'!$G$3:$G$50,"Inhouse IT Technician with qualification",'Input - Admin &amp; Management'!$H$3:$H$50,"M",'Input - Admin &amp; Management'!$I$3:$I$50,"NSW"),0)</f>
        <v>0</v>
      </c>
      <c r="J63" s="19">
        <f>COUNTIFS('Input - Admin &amp; Management'!$G$3:$G$50,"Inhouse IT Technician with qualification",'Input - Admin &amp; Management'!$H$3:$H$50,"M",'Input - Admin &amp; Management'!$I$3:$I$50,"VIC")</f>
        <v>0</v>
      </c>
      <c r="K63" s="20">
        <f>IFERROR(AVERAGEIFS('Input - Admin &amp; Management'!$F$3:$F$50,'Input - Admin &amp; Management'!$G$3:$G$50,"Inhouse IT Technician with qualification",'Input - Admin &amp; Management'!$H$3:$H$50,"M",'Input - Admin &amp; Management'!$I$3:$I$50,"VIC"),0)</f>
        <v>0</v>
      </c>
      <c r="L63" s="20">
        <f>IFERROR(_xlfn.MINIFS('Input - Admin &amp; Management'!$F$3:$F$50,'Input - Admin &amp; Management'!$G$3:$G$50,"Inhouse IT Technician with qualification",'Input - Admin &amp; Management'!$H$3:$H$50,"M",'Input - Admin &amp; Management'!$I$3:$I$50,"VIC"),0)</f>
        <v>0</v>
      </c>
      <c r="M63" s="21">
        <f>IFERROR(_xlfn.MAXIFS('Input - Admin &amp; Management'!$F$3:$F$50,'Input - Admin &amp; Management'!$G$3:$G$50,"Inhouse IT Technician with qualification",'Input - Admin &amp; Management'!$H$3:$H$50,"M",'Input - Admin &amp; Management'!$I$3:$I$50,"VIC"),0)</f>
        <v>0</v>
      </c>
      <c r="N63" s="10">
        <f>COUNTIFS('Input - Admin &amp; Management'!$G$3:$G$50,"Inhouse IT Technician with qualification",'Input - Admin &amp; Management'!$H$3:$H$50,"M",'Input - Admin &amp; Management'!$I$3:$I$50,"SA")</f>
        <v>0</v>
      </c>
      <c r="O63" s="12">
        <f>IFERROR(AVERAGEIFS('Input - Admin &amp; Management'!$F$3:$F$50,'Input - Admin &amp; Management'!$G$3:$G$50,"Inhouse IT Technician with qualification",'Input - Admin &amp; Management'!$H$3:$H$50,"M",'Input - Admin &amp; Management'!$I$3:$I$50,"SA"),0)</f>
        <v>0</v>
      </c>
      <c r="P63" s="12">
        <f>IFERROR(_xlfn.MINIFS('Input - Admin &amp; Management'!$F$3:$F$50,'Input - Admin &amp; Management'!$G$3:$G$50,"Inhouse IT Technician with qualification",'Input - Admin &amp; Management'!$H$3:$H$50,"M",'Input - Admin &amp; Management'!$I$3:$I$50,"SA"),0)</f>
        <v>0</v>
      </c>
      <c r="Q63" s="15">
        <f>IFERROR(_xlfn.MAXIFS('Input - Admin &amp; Management'!$F$3:$F$50,'Input - Admin &amp; Management'!$G$3:$G$50,"Inhouse IT Technician with qualification",'Input - Admin &amp; Management'!$H$3:$H$50,"M",'Input - Admin &amp; Management'!$I$3:$I$50,"SA"),0)</f>
        <v>0</v>
      </c>
      <c r="R63" s="19">
        <f>COUNTIFS('Input - Admin &amp; Management'!$G$3:$G$50,"Inhouse IT Technician with qualification",'Input - Admin &amp; Management'!$H$3:$H$50,"M",'Input - Admin &amp; Management'!$I$3:$I$50,"WA")</f>
        <v>0</v>
      </c>
      <c r="S63" s="20">
        <f>IFERROR(AVERAGEIFS('Input - Admin &amp; Management'!$F$3:$F$50,'Input - Admin &amp; Management'!$G$3:$G$50,"Inhouse IT Technician with qualification",'Input - Admin &amp; Management'!$H$3:$H$50,"M",'Input - Admin &amp; Management'!$I$3:$I$50,"WA"),0)</f>
        <v>0</v>
      </c>
      <c r="T63" s="20">
        <f>IFERROR(_xlfn.MINIFS('Input - Admin &amp; Management'!$F$3:$F$50,'Input - Admin &amp; Management'!$G$3:$G$50,"Inhouse IT Technician with qualification",'Input - Admin &amp; Management'!$H$3:$H$50,"M",'Input - Admin &amp; Management'!$I$3:$I$50,"WA"),0)</f>
        <v>0</v>
      </c>
      <c r="U63" s="21">
        <f>IFERROR(_xlfn.MAXIFS('Input - Admin &amp; Management'!$F$3:$F$50,'Input - Admin &amp; Management'!$G$3:$G$50,"Inhouse IT Technician with qualification",'Input - Admin &amp; Management'!$H$3:$H$50,"M",'Input - Admin &amp; Management'!$I$3:$I$50,"WA"),0)</f>
        <v>0</v>
      </c>
      <c r="V63" s="10">
        <f>COUNTIFS('Input - Admin &amp; Management'!$G$3:$G$50,"Inhouse IT Technician with qualification",'Input - Admin &amp; Management'!$H$3:$H$50,"M",'Input - Admin &amp; Management'!$I$3:$I$50,"TAS")</f>
        <v>0</v>
      </c>
      <c r="W63" s="12">
        <f>IFERROR(AVERAGEIFS('Input - Admin &amp; Management'!$F$3:$F$50,'Input - Admin &amp; Management'!$G$3:$G$50,"Inhouse IT Technician with qualification",'Input - Admin &amp; Management'!$H$3:$H$50,"M",'Input - Admin &amp; Management'!$I$3:$I$50,"NTAS"),0)</f>
        <v>0</v>
      </c>
      <c r="X63" s="12">
        <f>IFERROR(_xlfn.MINIFS('Input - Admin &amp; Management'!$F$3:$F$50,'Input - Admin &amp; Management'!$G$3:$G$50,"Inhouse IT Technician with qualification",'Input - Admin &amp; Management'!$H$3:$H$50,"M",'Input - Admin &amp; Management'!$I$3:$I$50,"TAS"),0)</f>
        <v>0</v>
      </c>
      <c r="Y63" s="15">
        <f>IFERROR(_xlfn.MAXIFS('Input - Admin &amp; Management'!$F$3:$F$50,'Input - Admin &amp; Management'!$G$3:$G$50,"Inhouse IT Technician with qualification",'Input - Admin &amp; Management'!$H$3:$H$50,"M",'Input - Admin &amp; Management'!$I$3:$I$50,"TAS"),0)</f>
        <v>0</v>
      </c>
      <c r="Z63" s="19">
        <f>COUNTIFS('Input - Admin &amp; Management'!$G$3:$G$50,"Inhouse IT Technician with qualification",'Input - Admin &amp; Management'!$H$3:$H$50,"M",'Input - Admin &amp; Management'!$I$3:$I$50,"NT")</f>
        <v>0</v>
      </c>
      <c r="AA63" s="20">
        <f>IFERROR(AVERAGEIFS('Input - Admin &amp; Management'!$F$3:$F$50,'Input - Admin &amp; Management'!$G$3:$G$50,"Inhouse IT Technician with qualification",'Input - Admin &amp; Management'!$H$3:$H$50,"M",'Input - Admin &amp; Management'!$I$3:$I$50,"NT"),0)</f>
        <v>0</v>
      </c>
      <c r="AB63" s="20">
        <f>IFERROR(_xlfn.MINIFS('Input - Admin &amp; Management'!$F$3:$F$50,'Input - Admin &amp; Management'!$G$3:$G$50,"Inhouse IT Technician with qualification",'Input - Admin &amp; Management'!$H$3:$H$50,"M",'Input - Admin &amp; Management'!$I$3:$I$50,"NT"),0)</f>
        <v>0</v>
      </c>
      <c r="AC63" s="21">
        <f>IFERROR(_xlfn.MAXIFS('Input - Admin &amp; Management'!$F$3:$F$50,'Input - Admin &amp; Management'!$G$3:$G$50,"Inhouse IT Technician with qualification",'Input - Admin &amp; Management'!$H$3:$H$50,"M",'Input - Admin &amp; Management'!$I$3:$I$50,"NT"),0)</f>
        <v>0</v>
      </c>
      <c r="AD63" s="10">
        <f>COUNTIFS('Input - Admin &amp; Management'!$G$3:$G$50,"Inhouse IT Technician with qualification",'Input - Admin &amp; Management'!$H$3:$H$50,"M",'Input - Admin &amp; Management'!$I$3:$I$50,"ACT")</f>
        <v>0</v>
      </c>
      <c r="AE63" s="12">
        <f>IFERROR(AVERAGEIFS('Input - Admin &amp; Management'!$F$3:$F$50,'Input - Admin &amp; Management'!$G$3:$G$50,"Inhouse IT Technician with qualification",'Input - Admin &amp; Management'!$H$3:$H$50,"M",'Input - Admin &amp; Management'!$I$3:$I$50,"NTAS"),0)</f>
        <v>0</v>
      </c>
      <c r="AF63" s="12">
        <f>IFERROR(_xlfn.MINIFS('Input - Admin &amp; Management'!$F$3:$F$50,'Input - Admin &amp; Management'!$G$3:$G$50,"Inhouse IT Technician with qualification",'Input - Admin &amp; Management'!$H$3:$H$50,"M",'Input - Admin &amp; Management'!$I$3:$I$50,"ACT"),0)</f>
        <v>0</v>
      </c>
      <c r="AG63" s="15">
        <f>IFERROR(_xlfn.MAXIFS('Input - Admin &amp; Management'!$F$3:$F$50,'Input - Admin &amp; Management'!$G$3:$G$50,"Inhouse IT Technician with qualification",'Input - Admin &amp; Management'!$H$3:$H$50,"M",'Input - Admin &amp; Management'!$I$3:$I$50,"ACT"),0)</f>
        <v>0</v>
      </c>
    </row>
    <row r="64" spans="1:33" x14ac:dyDescent="0.35">
      <c r="A64" s="11" t="s">
        <v>108</v>
      </c>
      <c r="B64" s="19">
        <f>COUNTIFS('Input - Admin &amp; Management'!$G$3:$G$50,"Inhouse IT Technician with qualification",'Input - Admin &amp; Management'!$H$3:$H$50,"F",'Input - Admin &amp; Management'!$I$3:$I$50,"QLD")</f>
        <v>0</v>
      </c>
      <c r="C64" s="20">
        <f>IFERROR(AVERAGEIFS('Input - Admin &amp; Management'!$F$3:$F$50,'Input - Admin &amp; Management'!$G$3:$G$50,"Inhouse IT Technician with qualification",'Input - Admin &amp; Management'!$H$3:$H$50,"F",'Input - Admin &amp; Management'!$I$3:$I$50,"QLD"),0)</f>
        <v>0</v>
      </c>
      <c r="D64" s="20">
        <f>IFERROR(_xlfn.MINIFS('Input - Admin &amp; Management'!$F$3:$F$50,'Input - Admin &amp; Management'!$G$3:$G$50,"Inhouse IT Technician with qualification",'Input - Admin &amp; Management'!$H$3:$H$50,"F",'Input - Admin &amp; Management'!$I$3:$I$50,"QLD"),0)</f>
        <v>0</v>
      </c>
      <c r="E64" s="21">
        <f>IFERROR(_xlfn.MAXIFS('Input - Admin &amp; Management'!$F$3:$F$50,'Input - Admin &amp; Management'!$G$3:$G$50,"Inhouse IT Technician with qualification",'Input - Admin &amp; Management'!$H$3:$H$50,"F",'Input - Admin &amp; Management'!$I$3:$I$50,"QLD"),0)</f>
        <v>0</v>
      </c>
      <c r="F64" s="10">
        <f>COUNTIFS('Input - Admin &amp; Management'!$G$3:$G$50,"Inhouse IT Technician with qualification",'Input - Admin &amp; Management'!$H$3:$H$50,"F",'Input - Admin &amp; Management'!$I$3:$I$50,"NSW")</f>
        <v>0</v>
      </c>
      <c r="G64" s="12">
        <f>IFERROR(AVERAGEIFS('Input - Admin &amp; Management'!$F$3:$F$50,'Input - Admin &amp; Management'!$G$3:$G$50,"Inhouse IT Technician with qualification",'Input - Admin &amp; Management'!$H$3:$H$50,"F",'Input - Admin &amp; Management'!$I$3:$I$50,"NSW"),0)</f>
        <v>0</v>
      </c>
      <c r="H64" s="12">
        <f>IFERROR(_xlfn.MINIFS('Input - Admin &amp; Management'!$F$3:$F$50,'Input - Admin &amp; Management'!$G$3:$G$50,"Inhouse IT Technician with qualification",'Input - Admin &amp; Management'!$H$3:$H$50,"F",'Input - Admin &amp; Management'!$I$3:$I$50,"NSW"),0)</f>
        <v>0</v>
      </c>
      <c r="I64" s="15">
        <f>IFERROR(_xlfn.MAXIFS('Input - Admin &amp; Management'!$F$3:$F$50,'Input - Admin &amp; Management'!$G$3:$G$50,"Inhouse IT Technician with qualification",'Input - Admin &amp; Management'!$H$3:$H$50,"F",'Input - Admin &amp; Management'!$I$3:$I$50,"NSW"),0)</f>
        <v>0</v>
      </c>
      <c r="J64" s="19">
        <f>COUNTIFS('Input - Admin &amp; Management'!$G$3:$G$50,"Inhouse IT Technician with qualification",'Input - Admin &amp; Management'!$H$3:$H$50,"F",'Input - Admin &amp; Management'!$I$3:$I$50,"VIC")</f>
        <v>0</v>
      </c>
      <c r="K64" s="20">
        <f>IFERROR(AVERAGEIFS('Input - Admin &amp; Management'!$F$3:$F$50,'Input - Admin &amp; Management'!$G$3:$G$50,"Inhouse IT Technician with qualification",'Input - Admin &amp; Management'!$H$3:$H$50,"F",'Input - Admin &amp; Management'!$I$3:$I$50,"VIC"),0)</f>
        <v>0</v>
      </c>
      <c r="L64" s="20">
        <f>IFERROR(_xlfn.MINIFS('Input - Admin &amp; Management'!$F$3:$F$50,'Input - Admin &amp; Management'!$G$3:$G$50,"Inhouse IT Technician with qualification",'Input - Admin &amp; Management'!$H$3:$H$50,"F",'Input - Admin &amp; Management'!$I$3:$I$50,"VIC"),0)</f>
        <v>0</v>
      </c>
      <c r="M64" s="21">
        <f>IFERROR(_xlfn.MAXIFS('Input - Admin &amp; Management'!$F$3:$F$50,'Input - Admin &amp; Management'!$G$3:$G$50,"Inhouse IT Technician with qualification",'Input - Admin &amp; Management'!$H$3:$H$50,"F",'Input - Admin &amp; Management'!$I$3:$I$50,"VIC"),0)</f>
        <v>0</v>
      </c>
      <c r="N64" s="10">
        <f>COUNTIFS('Input - Admin &amp; Management'!$G$3:$G$50,"Inhouse IT Technician with qualification",'Input - Admin &amp; Management'!$H$3:$H$50,"F",'Input - Admin &amp; Management'!$I$3:$I$50,"SA")</f>
        <v>0</v>
      </c>
      <c r="O64" s="12">
        <f>IFERROR(AVERAGEIFS('Input - Admin &amp; Management'!$F$3:$F$50,'Input - Admin &amp; Management'!$G$3:$G$50,"Inhouse IT Technician with qualification",'Input - Admin &amp; Management'!$H$3:$H$50,"F",'Input - Admin &amp; Management'!$I$3:$I$50,"SA"),0)</f>
        <v>0</v>
      </c>
      <c r="P64" s="12">
        <f>IFERROR(_xlfn.MINIFS('Input - Admin &amp; Management'!$F$3:$F$50,'Input - Admin &amp; Management'!$G$3:$G$50,"Inhouse IT Technician with qualification",'Input - Admin &amp; Management'!$H$3:$H$50,"F",'Input - Admin &amp; Management'!$I$3:$I$50,"SA"),0)</f>
        <v>0</v>
      </c>
      <c r="Q64" s="15">
        <f>IFERROR(_xlfn.MAXIFS('Input - Admin &amp; Management'!$F$3:$F$50,'Input - Admin &amp; Management'!$G$3:$G$50,"Inhouse IT Technician with qualification",'Input - Admin &amp; Management'!$H$3:$H$50,"F",'Input - Admin &amp; Management'!$I$3:$I$50,"SA"),0)</f>
        <v>0</v>
      </c>
      <c r="R64" s="19">
        <f>COUNTIFS('Input - Admin &amp; Management'!$G$3:$G$50,"Inhouse IT Technician with qualification",'Input - Admin &amp; Management'!$H$3:$H$50,"F",'Input - Admin &amp; Management'!$I$3:$I$50,"WA")</f>
        <v>0</v>
      </c>
      <c r="S64" s="20">
        <f>IFERROR(AVERAGEIFS('Input - Admin &amp; Management'!$F$3:$F$50,'Input - Admin &amp; Management'!$G$3:$G$50,"Inhouse IT Technician with qualification",'Input - Admin &amp; Management'!$H$3:$H$50,"F",'Input - Admin &amp; Management'!$I$3:$I$50,"WA"),0)</f>
        <v>0</v>
      </c>
      <c r="T64" s="20">
        <f>IFERROR(_xlfn.MINIFS('Input - Admin &amp; Management'!$F$3:$F$50,'Input - Admin &amp; Management'!$G$3:$G$50,"Inhouse IT Technician with qualification",'Input - Admin &amp; Management'!$H$3:$H$50,"F",'Input - Admin &amp; Management'!$I$3:$I$50,"WA"),0)</f>
        <v>0</v>
      </c>
      <c r="U64" s="21">
        <f>IFERROR(_xlfn.MAXIFS('Input - Admin &amp; Management'!$F$3:$F$50,'Input - Admin &amp; Management'!$G$3:$G$50,"Inhouse IT Technician with qualification",'Input - Admin &amp; Management'!$H$3:$H$50,"F",'Input - Admin &amp; Management'!$I$3:$I$50,"WA"),0)</f>
        <v>0</v>
      </c>
      <c r="V64" s="10">
        <f>COUNTIFS('Input - Admin &amp; Management'!$G$3:$G$50,"Inhouse IT Technician with qualification",'Input - Admin &amp; Management'!$H$3:$H$50,"F",'Input - Admin &amp; Management'!$I$3:$I$50,"TAS")</f>
        <v>0</v>
      </c>
      <c r="W64" s="12">
        <f>IFERROR(AVERAGEIFS('Input - Admin &amp; Management'!$F$3:$F$50,'Input - Admin &amp; Management'!$G$3:$G$50,"Inhouse IT Technician with qualification",'Input - Admin &amp; Management'!$H$3:$H$50,"F",'Input - Admin &amp; Management'!$I$3:$I$50,"TAS"),0)</f>
        <v>0</v>
      </c>
      <c r="X64" s="12">
        <f>IFERROR(_xlfn.MINIFS('Input - Admin &amp; Management'!$F$3:$F$50,'Input - Admin &amp; Management'!$G$3:$G$50,"Inhouse IT Technician with qualification",'Input - Admin &amp; Management'!$H$3:$H$50,"F",'Input - Admin &amp; Management'!$I$3:$I$50,"TAS"),0)</f>
        <v>0</v>
      </c>
      <c r="Y64" s="15">
        <f>IFERROR(_xlfn.MAXIFS('Input - Admin &amp; Management'!$F$3:$F$50,'Input - Admin &amp; Management'!$G$3:$G$50,"Inhouse IT Technician with qualification",'Input - Admin &amp; Management'!$H$3:$H$50,"F",'Input - Admin &amp; Management'!$I$3:$I$50,"TAS"),0)</f>
        <v>0</v>
      </c>
      <c r="Z64" s="19">
        <f>COUNTIFS('Input - Admin &amp; Management'!$G$3:$G$50,"Inhouse IT Technician with qualification",'Input - Admin &amp; Management'!$H$3:$H$50,"F",'Input - Admin &amp; Management'!$I$3:$I$50,"NT")</f>
        <v>0</v>
      </c>
      <c r="AA64" s="20">
        <f>IFERROR(AVERAGEIFS('Input - Admin &amp; Management'!$F$3:$F$50,'Input - Admin &amp; Management'!$G$3:$G$50,"Inhouse IT Technician with qualification",'Input - Admin &amp; Management'!$H$3:$H$50,"F",'Input - Admin &amp; Management'!$I$3:$I$50,"NT"),0)</f>
        <v>0</v>
      </c>
      <c r="AB64" s="20">
        <f>IFERROR(_xlfn.MINIFS('Input - Admin &amp; Management'!$F$3:$F$50,'Input - Admin &amp; Management'!$G$3:$G$50,"Inhouse IT Technician with qualification",'Input - Admin &amp; Management'!$H$3:$H$50,"F",'Input - Admin &amp; Management'!$I$3:$I$50,"NT"),0)</f>
        <v>0</v>
      </c>
      <c r="AC64" s="21">
        <f>IFERROR(_xlfn.MAXIFS('Input - Admin &amp; Management'!$F$3:$F$50,'Input - Admin &amp; Management'!$G$3:$G$50,"Inhouse IT Technician with qualification",'Input - Admin &amp; Management'!$H$3:$H$50,"F",'Input - Admin &amp; Management'!$I$3:$I$50,"NT"),0)</f>
        <v>0</v>
      </c>
      <c r="AD64" s="10">
        <f>COUNTIFS('Input - Admin &amp; Management'!$G$3:$G$50,"Inhouse IT Technician with qualification",'Input - Admin &amp; Management'!$H$3:$H$50,"F",'Input - Admin &amp; Management'!$I$3:$I$50,"ACT")</f>
        <v>0</v>
      </c>
      <c r="AE64" s="12">
        <f>IFERROR(AVERAGEIFS('Input - Admin &amp; Management'!$F$3:$F$50,'Input - Admin &amp; Management'!$G$3:$G$50,"Inhouse IT Technician with qualification",'Input - Admin &amp; Management'!$H$3:$H$50,"F",'Input - Admin &amp; Management'!$I$3:$I$50,"ACT"),0)</f>
        <v>0</v>
      </c>
      <c r="AF64" s="12">
        <f>IFERROR(_xlfn.MINIFS('Input - Admin &amp; Management'!$F$3:$F$50,'Input - Admin &amp; Management'!$G$3:$G$50,"Inhouse IT Technician with qualification",'Input - Admin &amp; Management'!$H$3:$H$50,"F",'Input - Admin &amp; Management'!$I$3:$I$50,"ACT"),0)</f>
        <v>0</v>
      </c>
      <c r="AG64" s="15">
        <f>IFERROR(_xlfn.MAXIFS('Input - Admin &amp; Management'!$F$3:$F$50,'Input - Admin &amp; Management'!$G$3:$G$50,"Inhouse IT Technician with qualification",'Input - Admin &amp; Management'!$H$3:$H$50,"F",'Input - Admin &amp; Management'!$I$3:$I$50,"ACT"),0)</f>
        <v>0</v>
      </c>
    </row>
    <row r="65" spans="1:33" x14ac:dyDescent="0.35">
      <c r="A65" s="11" t="s">
        <v>109</v>
      </c>
      <c r="B65" s="19">
        <f>COUNTIFS('Input - Admin &amp; Management'!$G$3:$G$50,"Bookkeeping",'Input - Admin &amp; Management'!$H$3:$H$50,"M",'Input - Admin &amp; Management'!$I$3:$I$50,"QLD")</f>
        <v>0</v>
      </c>
      <c r="C65" s="20">
        <f>IFERROR(AVERAGEIFS('Input - Admin &amp; Management'!$F$3:$F$50,'Input - Admin &amp; Management'!$G$3:$G$50,"Bookkeeping",'Input - Admin &amp; Management'!$H$3:$H$50,"M",'Input - Admin &amp; Management'!I$3:$I13:$G$56,"QLD"),0)</f>
        <v>0</v>
      </c>
      <c r="D65" s="20">
        <f>IFERROR(_xlfn.MINIFS('Input - Admin &amp; Management'!$F$3:$F$50,'Input - Admin &amp; Management'!$G$3:$G$50,"Bookkeeping",'Input - Admin &amp; Management'!$H$3:$H$50,"M",'Input - Admin &amp; Management'!$I$3:$I$50,"QLD"),0)</f>
        <v>0</v>
      </c>
      <c r="E65" s="21">
        <f>IFERROR(_xlfn.MAXIFS('Input - Admin &amp; Management'!$F$3:$F$50,'Input - Admin &amp; Management'!$G$3:$G$50,"Bookkeeping",'Input - Admin &amp; Management'!$H$3:$H$50,"M",'Input - Admin &amp; Management'!$I$3:$I$50,"QLD"),0)</f>
        <v>0</v>
      </c>
      <c r="F65" s="10">
        <f>COUNTIFS('Input - Admin &amp; Management'!$G$3:$G$50,"Bookkeeping",'Input - Admin &amp; Management'!$H$3:$H$50,"M",'Input - Admin &amp; Management'!$I$3:$I$50,"NSW")</f>
        <v>0</v>
      </c>
      <c r="G65" s="12">
        <f>IFERROR(AVERAGEIFS('Input - Admin &amp; Management'!$F$3:$F$50,'Input - Admin &amp; Management'!$G$3:$G$50,"Bookkeeping",'Input - Admin &amp; Management'!$H$3:$H$50,"M",'Input - Admin &amp; Management'!$I$3:M13:$G$56,"NSW"),0)</f>
        <v>0</v>
      </c>
      <c r="H65" s="12">
        <f>IFERROR(_xlfn.MINIFS('Input - Admin &amp; Management'!$F$3:$F$50,'Input - Admin &amp; Management'!$G$3:$G$50,"Bookkeeping",'Input - Admin &amp; Management'!$H$3:$H$50,"M",'Input - Admin &amp; Management'!$I$3:$I$50,"NSW"),0)</f>
        <v>0</v>
      </c>
      <c r="I65" s="15">
        <f>IFERROR(_xlfn.MAXIFS('Input - Admin &amp; Management'!$F$3:$F$50,'Input - Admin &amp; Management'!$G$3:$G$50,"Bookkeeping",'Input - Admin &amp; Management'!$H$3:$H$50,"M",'Input - Admin &amp; Management'!$I$3:$I$50,"NSW"),0)</f>
        <v>0</v>
      </c>
      <c r="J65" s="19">
        <f>COUNTIFS('Input - Admin &amp; Management'!$G$3:$G$50,"Bookkeeping",'Input - Admin &amp; Management'!$H$3:$H$50,"M",'Input - Admin &amp; Management'!$I$3:$I$50,"VIC")</f>
        <v>0</v>
      </c>
      <c r="K65" s="20">
        <f>IFERROR(AVERAGEIFS('Input - Admin &amp; Management'!$F$3:$F$50,'Input - Admin &amp; Management'!$G$3:$G$50,"Bookkeeping",'Input - Admin &amp; Management'!$H$3:$H$50,"M",'Input - Admin &amp; Management'!$I$3:Q13:$G$56,"VIC"),0)</f>
        <v>0</v>
      </c>
      <c r="L65" s="20">
        <f>IFERROR(_xlfn.MINIFS('Input - Admin &amp; Management'!$F$3:$F$50,'Input - Admin &amp; Management'!$G$3:$G$50,"Bookkeeping",'Input - Admin &amp; Management'!$H$3:$H$50,"M",'Input - Admin &amp; Management'!$I$3:$I$50,"VIC"),0)</f>
        <v>0</v>
      </c>
      <c r="M65" s="21">
        <f>IFERROR(_xlfn.MAXIFS('Input - Admin &amp; Management'!$F$3:$F$50,'Input - Admin &amp; Management'!$G$3:$G$50,"Bookkeeping",'Input - Admin &amp; Management'!$H$3:$H$50,"M",'Input - Admin &amp; Management'!$I$3:$I$50,"VIC"),0)</f>
        <v>0</v>
      </c>
      <c r="N65" s="10">
        <f>COUNTIFS('Input - Admin &amp; Management'!$G$3:$G$50,"Bookkeeping",'Input - Admin &amp; Management'!$H$3:$H$50,"M",'Input - Admin &amp; Management'!$I$3:$I$50,"SA")</f>
        <v>0</v>
      </c>
      <c r="O65" s="12">
        <f>IFERROR(AVERAGEIFS('Input - Admin &amp; Management'!$F$3:$F$50,'Input - Admin &amp; Management'!$G$3:$G$50,"Bookkeeping",'Input - Admin &amp; Management'!$H$3:$H$50,"M",'Input - Admin &amp; Management'!$I$3:U13:$G$56,"SA"),0)</f>
        <v>0</v>
      </c>
      <c r="P65" s="12">
        <f>IFERROR(_xlfn.MINIFS('Input - Admin &amp; Management'!$F$3:$F$50,'Input - Admin &amp; Management'!$G$3:$G$50,"Bookkeeping",'Input - Admin &amp; Management'!$H$3:$H$50,"M",'Input - Admin &amp; Management'!$I$3:$I$50,"SA"),0)</f>
        <v>0</v>
      </c>
      <c r="Q65" s="15">
        <f>IFERROR(_xlfn.MAXIFS('Input - Admin &amp; Management'!$F$3:$F$50,'Input - Admin &amp; Management'!$G$3:$G$50,"Bookkeeping",'Input - Admin &amp; Management'!$H$3:$H$50,"M",'Input - Admin &amp; Management'!$I$3:$I$50,"SA"),0)</f>
        <v>0</v>
      </c>
      <c r="R65" s="19">
        <f>COUNTIFS('Input - Admin &amp; Management'!$G$3:$G$50,"Bookkeeping",'Input - Admin &amp; Management'!$H$3:$H$50,"M",'Input - Admin &amp; Management'!$I$3:$I$50,"WA")</f>
        <v>0</v>
      </c>
      <c r="S65" s="20">
        <f>IFERROR(AVERAGEIFS('Input - Admin &amp; Management'!$F$3:$F$50,'Input - Admin &amp; Management'!$G$3:$G$50,"Bookkeeping",'Input - Admin &amp; Management'!$H$3:$H$50,"M",'Input - Admin &amp; Management'!$I$3:Y13:$G$56,"WA"),0)</f>
        <v>0</v>
      </c>
      <c r="T65" s="20">
        <f>IFERROR(_xlfn.MINIFS('Input - Admin &amp; Management'!$F$3:$F$50,'Input - Admin &amp; Management'!$G$3:$G$50,"Bookkeeping",'Input - Admin &amp; Management'!$H$3:$H$50,"M",'Input - Admin &amp; Management'!$I$3:$I$50,"WA"),0)</f>
        <v>0</v>
      </c>
      <c r="U65" s="21">
        <f>IFERROR(_xlfn.MAXIFS('Input - Admin &amp; Management'!$F$3:$F$50,'Input - Admin &amp; Management'!$G$3:$G$50,"Bookkeeping",'Input - Admin &amp; Management'!$H$3:$H$50,"M",'Input - Admin &amp; Management'!$I$3:$I$50,"WA"),0)</f>
        <v>0</v>
      </c>
      <c r="V65" s="10">
        <f>COUNTIFS('Input - Admin &amp; Management'!$G$3:$G$50,"Bookkeeping",'Input - Admin &amp; Management'!$H$3:$H$50,"M",'Input - Admin &amp; Management'!$I$3:$I$50,"TAS")</f>
        <v>0</v>
      </c>
      <c r="W65" s="12">
        <f>IFERROR(AVERAGEIFS('Input - Admin &amp; Management'!$F$3:$F$50,'Input - Admin &amp; Management'!$G$3:$G$50,"Bookkeeping",'Input - Admin &amp; Management'!$H$3:$H$50,"M",'Input - Admin &amp; Management'!$I$3:AC13:$G$56,"TAS"),0)</f>
        <v>0</v>
      </c>
      <c r="X65" s="12">
        <f>IFERROR(_xlfn.MINIFS('Input - Admin &amp; Management'!$F$3:$F$50,'Input - Admin &amp; Management'!$G$3:$G$50,"Bookkeeping",'Input - Admin &amp; Management'!$H$3:$H$50,"M",'Input - Admin &amp; Management'!$I$3:$I$50,"TAS"),0)</f>
        <v>0</v>
      </c>
      <c r="Y65" s="15">
        <f>IFERROR(_xlfn.MAXIFS('Input - Admin &amp; Management'!$F$3:$F$50,'Input - Admin &amp; Management'!$G$3:$G$50,"Bookkeeping",'Input - Admin &amp; Management'!$H$3:$H$50,"M",'Input - Admin &amp; Management'!$I$3:$I$50,"TAS"),0)</f>
        <v>0</v>
      </c>
      <c r="Z65" s="19">
        <f>COUNTIFS('Input - Admin &amp; Management'!$G$3:$G$50,"Bookkeeping",'Input - Admin &amp; Management'!$H$3:$H$50,"M",'Input - Admin &amp; Management'!$I$3:$I$50,"NT")</f>
        <v>0</v>
      </c>
      <c r="AA65" s="20">
        <f>IFERROR(AVERAGEIFS('Input - Admin &amp; Management'!$F$3:$F$50,'Input - Admin &amp; Management'!$G$3:$G$50,"Bookkeeping",'Input - Admin &amp; Management'!$H$3:$H$50,"M",'Input - Admin &amp; Management'!$I$3:AG13:$G$56,"NT"),0)</f>
        <v>0</v>
      </c>
      <c r="AB65" s="20">
        <f>IFERROR(_xlfn.MINIFS('Input - Admin &amp; Management'!$F$3:$F$50,'Input - Admin &amp; Management'!$G$3:$G$50,"Bookkeeping",'Input - Admin &amp; Management'!$H$3:$H$50,"M",'Input - Admin &amp; Management'!$I$3:$I$50,"NT"),0)</f>
        <v>0</v>
      </c>
      <c r="AC65" s="21">
        <f>IFERROR(_xlfn.MAXIFS('Input - Admin &amp; Management'!$F$3:$F$50,'Input - Admin &amp; Management'!$G$3:$G$50,"Bookkeeping",'Input - Admin &amp; Management'!$H$3:$H$50,"M",'Input - Admin &amp; Management'!$I$3:$I$50,"NT"),0)</f>
        <v>0</v>
      </c>
      <c r="AD65" s="10">
        <f>COUNTIFS('Input - Admin &amp; Management'!$G$3:$G$50,"Bookkeeping",'Input - Admin &amp; Management'!$H$3:$H$50,"M",'Input - Admin &amp; Management'!$I$3:$I$50,"ACT")</f>
        <v>0</v>
      </c>
      <c r="AE65" s="12">
        <f>IFERROR(AVERAGEIFS('Input - Admin &amp; Management'!$F$3:$F$50,'Input - Admin &amp; Management'!$G$3:$G$50,"Bookkeeping",'Input - Admin &amp; Management'!$H$3:$H$50,"M",'Input - Admin &amp; Management'!$I$3:AK13:$G$56,"ACT"),0)</f>
        <v>0</v>
      </c>
      <c r="AF65" s="12">
        <f>IFERROR(_xlfn.MINIFS('Input - Admin &amp; Management'!$F$3:$F$50,'Input - Admin &amp; Management'!$G$3:$G$50,"Bookkeeping",'Input - Admin &amp; Management'!$H$3:$H$50,"M",'Input - Admin &amp; Management'!$I$3:$I$50,"ACT"),0)</f>
        <v>0</v>
      </c>
      <c r="AG65" s="15">
        <f>IFERROR(_xlfn.MAXIFS('Input - Admin &amp; Management'!$F$3:$F$50,'Input - Admin &amp; Management'!$G$3:$G$50,"Bookkeeping",'Input - Admin &amp; Management'!$H$3:$H$50,"M",'Input - Admin &amp; Management'!$I$3:$I$50,"ACT"),0)</f>
        <v>0</v>
      </c>
    </row>
    <row r="66" spans="1:33" x14ac:dyDescent="0.35">
      <c r="A66" s="11" t="s">
        <v>110</v>
      </c>
      <c r="B66" s="19">
        <f>COUNTIFS('Input - Admin &amp; Management'!$G$3:$G$50,"Bookkeeping",'Input - Admin &amp; Management'!$H$3:$H$50,"F",'Input - Admin &amp; Management'!$I$3:$I$50,"QLD")</f>
        <v>0</v>
      </c>
      <c r="C66" s="20">
        <f>IFERROR(AVERAGEIFS('Input - Admin &amp; Management'!$F$3:$F$50,'Input - Admin &amp; Management'!$G$3:$G$50,"Bookkeeping",'Input - Admin &amp; Management'!$H$3:$H$50,"F",'Input - Admin &amp; Management'!$I$3:$I$50,"QLD"),0)</f>
        <v>0</v>
      </c>
      <c r="D66" s="20">
        <f>IFERROR(_xlfn.MINIFS('Input - Admin &amp; Management'!$F$3:$F$50,'Input - Admin &amp; Management'!$G$3:$G$50,"Bookkeeping",'Input - Admin &amp; Management'!$H$3:$H$50,"F",'Input - Admin &amp; Management'!$I$3:$I$50,"QLD"),0)</f>
        <v>0</v>
      </c>
      <c r="E66" s="21">
        <f>IFERROR(_xlfn.MAXIFS('Input - Admin &amp; Management'!$F$3:$F$50,'Input - Admin &amp; Management'!$G$3:$G$50,"Bookkeeping",'Input - Admin &amp; Management'!$H$3:$H$50,"F",'Input - Admin &amp; Management'!$I$3:$I$50,"QLD"),0)</f>
        <v>0</v>
      </c>
      <c r="F66" s="10">
        <f>COUNTIFS('Input - Admin &amp; Management'!$G$3:$G$50,"Bookkeeping",'Input - Admin &amp; Management'!$H$3:$H$50,"F",'Input - Admin &amp; Management'!$I$3:$I$50,"NSW")</f>
        <v>0</v>
      </c>
      <c r="G66" s="12">
        <f>IFERROR(AVERAGEIFS('Input - Admin &amp; Management'!$F$3:$F$50,'Input - Admin &amp; Management'!$G$3:$G$50,"Bookkeeping",'Input - Admin &amp; Management'!$H$3:$H$50,"F",'Input - Admin &amp; Management'!$I$3:$I$50,"NSW"),0)</f>
        <v>0</v>
      </c>
      <c r="H66" s="12">
        <f>IFERROR(_xlfn.MINIFS('Input - Admin &amp; Management'!$F$3:$F$50,'Input - Admin &amp; Management'!$G$3:$G$50,"Bookkeeping",'Input - Admin &amp; Management'!$H$3:$H$50,"F",'Input - Admin &amp; Management'!$I$3:$I$50,"NSW"),0)</f>
        <v>0</v>
      </c>
      <c r="I66" s="15">
        <f>IFERROR(_xlfn.MAXIFS('Input - Admin &amp; Management'!$F$3:$F$50,'Input - Admin &amp; Management'!$G$3:$G$50,"Bookkeeping",'Input - Admin &amp; Management'!$H$3:$H$50,"F",'Input - Admin &amp; Management'!$I$3:$I$50,"NSW"),0)</f>
        <v>0</v>
      </c>
      <c r="J66" s="19">
        <f>COUNTIFS('Input - Admin &amp; Management'!$G$3:$G$50,"Bookkeeping",'Input - Admin &amp; Management'!$H$3:$H$50,"F",'Input - Admin &amp; Management'!$I$3:$I$50,"VIC")</f>
        <v>0</v>
      </c>
      <c r="K66" s="20">
        <f>IFERROR(AVERAGEIFS('Input - Admin &amp; Management'!$F$3:$F$50,'Input - Admin &amp; Management'!$G$3:$G$50,"Bookkeeping",'Input - Admin &amp; Management'!$H$3:$H$50,"F",'Input - Admin &amp; Management'!$I$3:$I$50,"VIC"),0)</f>
        <v>0</v>
      </c>
      <c r="L66" s="20">
        <f>IFERROR(_xlfn.MINIFS('Input - Admin &amp; Management'!$F$3:$F$50,'Input - Admin &amp; Management'!$G$3:$G$50,"Bookkeeping",'Input - Admin &amp; Management'!$H$3:$H$50,"F",'Input - Admin &amp; Management'!$I$3:$I$50,"VIC"),0)</f>
        <v>0</v>
      </c>
      <c r="M66" s="21">
        <f>IFERROR(_xlfn.MAXIFS('Input - Admin &amp; Management'!$F$3:$F$50,'Input - Admin &amp; Management'!$G$3:$G$50,"Bookkeeping",'Input - Admin &amp; Management'!$H$3:$H$50,"F",'Input - Admin &amp; Management'!$I$3:$I$50,"VIC"),0)</f>
        <v>0</v>
      </c>
      <c r="N66" s="10">
        <f>COUNTIFS('Input - Admin &amp; Management'!$G$3:$G$50,"Bookkeeping",'Input - Admin &amp; Management'!$H$3:$H$50,"F",'Input - Admin &amp; Management'!$I$3:$I$50,"SA")</f>
        <v>0</v>
      </c>
      <c r="O66" s="12">
        <f>IFERROR(AVERAGEIFS('Input - Admin &amp; Management'!$F$3:$F$50,'Input - Admin &amp; Management'!$G$3:$G$50,"Bookkeeping",'Input - Admin &amp; Management'!$H$3:$H$50,"F",'Input - Admin &amp; Management'!$I$3:$I$50,"SA"),0)</f>
        <v>0</v>
      </c>
      <c r="P66" s="12">
        <f>IFERROR(_xlfn.MINIFS('Input - Admin &amp; Management'!$F$3:$F$50,'Input - Admin &amp; Management'!$G$3:$G$50,"Bookkeeping",'Input - Admin &amp; Management'!$H$3:$H$50,"F",'Input - Admin &amp; Management'!$I$3:$I$50,"SA"),0)</f>
        <v>0</v>
      </c>
      <c r="Q66" s="15">
        <f>IFERROR(_xlfn.MAXIFS('Input - Admin &amp; Management'!$F$3:$F$50,'Input - Admin &amp; Management'!$G$3:$G$50,"Bookkeeping",'Input - Admin &amp; Management'!$H$3:$H$50,"F",'Input - Admin &amp; Management'!$I$3:$I$50,"SA"),0)</f>
        <v>0</v>
      </c>
      <c r="R66" s="19">
        <f>COUNTIFS('Input - Admin &amp; Management'!$G$3:$G$50,"Bookkeeping",'Input - Admin &amp; Management'!$H$3:$H$50,"F",'Input - Admin &amp; Management'!$I$3:$I$50,"WA")</f>
        <v>0</v>
      </c>
      <c r="S66" s="20">
        <f>IFERROR(AVERAGEIFS('Input - Admin &amp; Management'!$F$3:$F$50,'Input - Admin &amp; Management'!$G$3:$G$50,"Bookkeeping",'Input - Admin &amp; Management'!$H$3:$H$50,"F",'Input - Admin &amp; Management'!$I$3:$I$50,"WA"),0)</f>
        <v>0</v>
      </c>
      <c r="T66" s="20">
        <f>IFERROR(_xlfn.MINIFS('Input - Admin &amp; Management'!$F$3:$F$50,'Input - Admin &amp; Management'!$G$3:$G$50,"Bookkeeping",'Input - Admin &amp; Management'!$H$3:$H$50,"F",'Input - Admin &amp; Management'!$I$3:$I$50,"WA"),0)</f>
        <v>0</v>
      </c>
      <c r="U66" s="21">
        <f>IFERROR(_xlfn.MAXIFS('Input - Admin &amp; Management'!$F$3:$F$50,'Input - Admin &amp; Management'!$G$3:$G$50,"Bookkeeping",'Input - Admin &amp; Management'!$H$3:$H$50,"F",'Input - Admin &amp; Management'!$I$3:$I$50,"WA"),0)</f>
        <v>0</v>
      </c>
      <c r="V66" s="10">
        <f>COUNTIFS('Input - Admin &amp; Management'!$G$3:$G$50,"Bookkeeping",'Input - Admin &amp; Management'!$H$3:$H$50,"F",'Input - Admin &amp; Management'!$I$3:$I$50,"TAS")</f>
        <v>0</v>
      </c>
      <c r="W66" s="12">
        <f>IFERROR(AVERAGEIFS('Input - Admin &amp; Management'!$F$3:$F$50,'Input - Admin &amp; Management'!$G$3:$G$50,"Bookkeeping",'Input - Admin &amp; Management'!$H$3:$H$50,"F",'Input - Admin &amp; Management'!$I$3:$I$50,"TAS"),0)</f>
        <v>0</v>
      </c>
      <c r="X66" s="12">
        <f>IFERROR(_xlfn.MINIFS('Input - Admin &amp; Management'!$F$3:$F$50,'Input - Admin &amp; Management'!$G$3:$G$50,"Bookkeeping",'Input - Admin &amp; Management'!$H$3:$H$50,"F",'Input - Admin &amp; Management'!$I$3:$I$50,"TAS"),0)</f>
        <v>0</v>
      </c>
      <c r="Y66" s="15">
        <f>IFERROR(_xlfn.MAXIFS('Input - Admin &amp; Management'!$F$3:$F$50,'Input - Admin &amp; Management'!$G$3:$G$50,"Bookkeeping",'Input - Admin &amp; Management'!$H$3:$H$50,"F",'Input - Admin &amp; Management'!$I$3:$I$50,"TAS"),0)</f>
        <v>0</v>
      </c>
      <c r="Z66" s="19">
        <f>COUNTIFS('Input - Admin &amp; Management'!$G$3:$G$50,"Bookkeeping",'Input - Admin &amp; Management'!$H$3:$H$50,"F",'Input - Admin &amp; Management'!$I$3:$I$50,"NT")</f>
        <v>0</v>
      </c>
      <c r="AA66" s="20">
        <f>IFERROR(AVERAGEIFS('Input - Admin &amp; Management'!$F$3:$F$50,'Input - Admin &amp; Management'!$G$3:$G$50,"Bookkeeping",'Input - Admin &amp; Management'!$H$3:$H$50,"F",'Input - Admin &amp; Management'!$I$3:$I$50,"NT"),0)</f>
        <v>0</v>
      </c>
      <c r="AB66" s="20">
        <f>IFERROR(_xlfn.MINIFS('Input - Admin &amp; Management'!$F$3:$F$50,'Input - Admin &amp; Management'!$G$3:$G$50,"Bookkeeping",'Input - Admin &amp; Management'!$H$3:$H$50,"F",'Input - Admin &amp; Management'!$I$3:$I$50,"NT"),0)</f>
        <v>0</v>
      </c>
      <c r="AC66" s="21">
        <f>IFERROR(_xlfn.MAXIFS('Input - Admin &amp; Management'!$F$3:$F$50,'Input - Admin &amp; Management'!$G$3:$G$50,"Bookkeeping",'Input - Admin &amp; Management'!$H$3:$H$50,"F",'Input - Admin &amp; Management'!$I$3:$I$50,"NT"),0)</f>
        <v>0</v>
      </c>
      <c r="AD66" s="10">
        <f>COUNTIFS('Input - Admin &amp; Management'!$G$3:$G$50,"Bookkeeping",'Input - Admin &amp; Management'!$H$3:$H$50,"F",'Input - Admin &amp; Management'!$I$3:$I$50,"ACT")</f>
        <v>0</v>
      </c>
      <c r="AE66" s="12">
        <f>IFERROR(AVERAGEIFS('Input - Admin &amp; Management'!$F$3:$F$50,'Input - Admin &amp; Management'!$G$3:$G$50,"Bookkeeping",'Input - Admin &amp; Management'!$H$3:$H$50,"F",'Input - Admin &amp; Management'!$I$3:$I$50,"ACT"),0)</f>
        <v>0</v>
      </c>
      <c r="AF66" s="12">
        <f>IFERROR(_xlfn.MINIFS('Input - Admin &amp; Management'!$F$3:$F$50,'Input - Admin &amp; Management'!$G$3:$G$50,"Bookkeeping",'Input - Admin &amp; Management'!$H$3:$H$50,"F",'Input - Admin &amp; Management'!$I$3:$I$50,"ACT"),0)</f>
        <v>0</v>
      </c>
      <c r="AG66" s="15">
        <f>IFERROR(_xlfn.MAXIFS('Input - Admin &amp; Management'!$F$3:$F$50,'Input - Admin &amp; Management'!$G$3:$G$50,"Bookkeeping",'Input - Admin &amp; Management'!$H$3:$H$50,"F",'Input - Admin &amp; Management'!$I$3:$I$50,"ACT"),0)</f>
        <v>0</v>
      </c>
    </row>
    <row r="67" spans="1:33" x14ac:dyDescent="0.35">
      <c r="A67" s="11" t="s">
        <v>111</v>
      </c>
      <c r="B67" s="19">
        <f>COUNTIFS('Input - Admin &amp; Management'!$G$3:$G$50,"Finance Manager",'Input - Admin &amp; Management'!$H$3:$H$50,"M",'Input - Admin &amp; Management'!$I$3:$I$50,"QLD")</f>
        <v>0</v>
      </c>
      <c r="C67" s="20">
        <f>IFERROR(AVERAGEIFS('Input - Admin &amp; Management'!$F$3:$F$50,'Input - Admin &amp; Management'!$G$3:$G$50,"Finance Manager",'Input - Admin &amp; Management'!$H$3:$H$50,"M",'Input - Admin &amp; Management'!$I$3:$I$50,"QLD"),0)</f>
        <v>0</v>
      </c>
      <c r="D67" s="20">
        <f>IFERROR(_xlfn.MINIFS('Input - Admin &amp; Management'!$F$3:$F$50,'Input - Admin &amp; Management'!$G$3:$G$50,"Finance Manager",'Input - Admin &amp; Management'!$H$3:$H$50,"M",'Input - Admin &amp; Management'!$I$3:$I$50,"QLD"),0)</f>
        <v>0</v>
      </c>
      <c r="E67" s="21">
        <f>IFERROR(_xlfn.MAXIFS('Input - Admin &amp; Management'!$F$3:$F$50,'Input - Admin &amp; Management'!$G$3:$G$50,"Finance Manager",'Input - Admin &amp; Management'!$H$3:$H$50,"M",'Input - Admin &amp; Management'!$I$3:$I$50,"QLD"),0)</f>
        <v>0</v>
      </c>
      <c r="F67" s="10">
        <f>COUNTIFS('Input - Admin &amp; Management'!$G$3:$G$50,"Finance Manager",'Input - Admin &amp; Management'!$H$3:$H$50,"M",'Input - Admin &amp; Management'!$I$3:$I$50,"NSW")</f>
        <v>0</v>
      </c>
      <c r="G67" s="12">
        <f>IFERROR(AVERAGEIFS('Input - Admin &amp; Management'!$F$3:$F$50,'Input - Admin &amp; Management'!$G$3:$G$50,"Finance Manager",'Input - Admin &amp; Management'!$H$3:$H$50,"M",'Input - Admin &amp; Management'!$I$3:$I$50,"NSW"),0)</f>
        <v>0</v>
      </c>
      <c r="H67" s="12">
        <f>IFERROR(_xlfn.MINIFS('Input - Admin &amp; Management'!$F$3:$F$50,'Input - Admin &amp; Management'!$G$3:$G$50,"Finance Manager",'Input - Admin &amp; Management'!$H$3:$H$50,"M",'Input - Admin &amp; Management'!$I$3:$I$50,"NSW"),0)</f>
        <v>0</v>
      </c>
      <c r="I67" s="15">
        <f>IFERROR(_xlfn.MAXIFS('Input - Admin &amp; Management'!$F$3:$F$50,'Input - Admin &amp; Management'!$G$3:$G$50,"Finance Manager",'Input - Admin &amp; Management'!$H$3:$H$50,"M",'Input - Admin &amp; Management'!$I$3:$I$50,"NSW"),0)</f>
        <v>0</v>
      </c>
      <c r="J67" s="19">
        <f>COUNTIFS('Input - Admin &amp; Management'!$G$3:$G$50,"Finance Manager",'Input - Admin &amp; Management'!$H$3:$H$50,"M",'Input - Admin &amp; Management'!$I$3:$I$50,"VIC")</f>
        <v>0</v>
      </c>
      <c r="K67" s="20">
        <f>IFERROR(AVERAGEIFS('Input - Admin &amp; Management'!$F$3:$F$50,'Input - Admin &amp; Management'!$G$3:$G$50,"Finance Manager",'Input - Admin &amp; Management'!$H$3:$H$50,"M",'Input - Admin &amp; Management'!$I$3:$I$50,"VIC"),0)</f>
        <v>0</v>
      </c>
      <c r="L67" s="20">
        <f>IFERROR(_xlfn.MINIFS('Input - Admin &amp; Management'!$F$3:$F$50,'Input - Admin &amp; Management'!$G$3:$G$50,"Finance Manager",'Input - Admin &amp; Management'!$H$3:$H$50,"M",'Input - Admin &amp; Management'!$I$3:$I$50,"VIC"),0)</f>
        <v>0</v>
      </c>
      <c r="M67" s="21">
        <f>IFERROR(_xlfn.MAXIFS('Input - Admin &amp; Management'!$F$3:$F$50,'Input - Admin &amp; Management'!$G$3:$G$50,"Finance Manager",'Input - Admin &amp; Management'!$H$3:$H$50,"M",'Input - Admin &amp; Management'!$I$3:$I$50,"VIC"),0)</f>
        <v>0</v>
      </c>
      <c r="N67" s="10">
        <f>COUNTIFS('Input - Admin &amp; Management'!$G$3:$G$50,"Finance Manager",'Input - Admin &amp; Management'!$H$3:$H$50,"M",'Input - Admin &amp; Management'!$I$3:$I$50,"SA")</f>
        <v>0</v>
      </c>
      <c r="O67" s="12">
        <f>IFERROR(AVERAGEIFS('Input - Admin &amp; Management'!$F$3:$F$50,'Input - Admin &amp; Management'!$G$3:$G$50,"Finance Manager",'Input - Admin &amp; Management'!$H$3:$H$50,"M",'Input - Admin &amp; Management'!$I$3:$I$50,"SA"),0)</f>
        <v>0</v>
      </c>
      <c r="P67" s="12">
        <f>IFERROR(_xlfn.MINIFS('Input - Admin &amp; Management'!$F$3:$F$50,'Input - Admin &amp; Management'!$G$3:$G$50,"Finance Manager",'Input - Admin &amp; Management'!$H$3:$H$50,"M",'Input - Admin &amp; Management'!$I$3:$I$50,"SA"),0)</f>
        <v>0</v>
      </c>
      <c r="Q67" s="15">
        <f>IFERROR(_xlfn.MAXIFS('Input - Admin &amp; Management'!$F$3:$F$50,'Input - Admin &amp; Management'!$G$3:$G$50,"Finance Manager",'Input - Admin &amp; Management'!$H$3:$H$50,"M",'Input - Admin &amp; Management'!$I$3:$I$50,"SA"),0)</f>
        <v>0</v>
      </c>
      <c r="R67" s="19">
        <f>COUNTIFS('Input - Admin &amp; Management'!$G$3:$G$50,"Finance Manager",'Input - Admin &amp; Management'!$H$3:$H$50,"M",'Input - Admin &amp; Management'!$I$3:$I$50,"WA")</f>
        <v>0</v>
      </c>
      <c r="S67" s="20">
        <f>IFERROR(AVERAGEIFS('Input - Admin &amp; Management'!$F$3:$F$50,'Input - Admin &amp; Management'!$G$3:$G$50,"Finance Manager",'Input - Admin &amp; Management'!$H$3:$H$50,"M",'Input - Admin &amp; Management'!$I$3:$I$50,"WA"),0)</f>
        <v>0</v>
      </c>
      <c r="T67" s="20">
        <f>IFERROR(_xlfn.MINIFS('Input - Admin &amp; Management'!$F$3:$F$50,'Input - Admin &amp; Management'!$G$3:$G$50,"Finance Manager",'Input - Admin &amp; Management'!$H$3:$H$50,"M",'Input - Admin &amp; Management'!$I$3:$I$50,"WA"),0)</f>
        <v>0</v>
      </c>
      <c r="U67" s="21">
        <f>IFERROR(_xlfn.MAXIFS('Input - Admin &amp; Management'!$F$3:$F$50,'Input - Admin &amp; Management'!$G$3:$G$50,"Finance Manager",'Input - Admin &amp; Management'!$H$3:$H$50,"M",'Input - Admin &amp; Management'!$I$3:$I$50,"VWA"),0)</f>
        <v>0</v>
      </c>
      <c r="V67" s="10">
        <f>COUNTIFS('Input - Admin &amp; Management'!$G$3:$G$50,"Finance Manager",'Input - Admin &amp; Management'!$H$3:$H$50,"M",'Input - Admin &amp; Management'!$I$3:$I$50,"TAS")</f>
        <v>0</v>
      </c>
      <c r="W67" s="12">
        <f>IFERROR(AVERAGEIFS('Input - Admin &amp; Management'!$F$3:$F$50,'Input - Admin &amp; Management'!$G$3:$G$50,"Finance Manager",'Input - Admin &amp; Management'!$H$3:$H$50,"M",'Input - Admin &amp; Management'!$I$3:$I$50,"TAS"),0)</f>
        <v>0</v>
      </c>
      <c r="X67" s="12">
        <f>IFERROR(_xlfn.MINIFS('Input - Admin &amp; Management'!$F$3:$F$50,'Input - Admin &amp; Management'!$G$3:$G$50,"Finance Manager",'Input - Admin &amp; Management'!$H$3:$H$50,"M",'Input - Admin &amp; Management'!$I$3:$I$50,"TAS"),0)</f>
        <v>0</v>
      </c>
      <c r="Y67" s="15">
        <f>IFERROR(_xlfn.MAXIFS('Input - Admin &amp; Management'!$F$3:$F$50,'Input - Admin &amp; Management'!$G$3:$G$50,"Finance Manager",'Input - Admin &amp; Management'!$H$3:$H$50,"M",'Input - Admin &amp; Management'!$I$3:$I$50,"TAS"),0)</f>
        <v>0</v>
      </c>
      <c r="Z67" s="19">
        <f>COUNTIFS('Input - Admin &amp; Management'!$G$3:$G$50,"Finance Manager",'Input - Admin &amp; Management'!$H$3:$H$50,"M",'Input - Admin &amp; Management'!$I$3:$I$50,"NT")</f>
        <v>0</v>
      </c>
      <c r="AA67" s="20">
        <f>IFERROR(AVERAGEIFS('Input - Admin &amp; Management'!$F$3:$F$50,'Input - Admin &amp; Management'!$G$3:$G$50,"Finance Manager",'Input - Admin &amp; Management'!$H$3:$H$50,"M",'Input - Admin &amp; Management'!$I$3:$I$50,"NT"),0)</f>
        <v>0</v>
      </c>
      <c r="AB67" s="20">
        <f>IFERROR(_xlfn.MINIFS('Input - Admin &amp; Management'!$F$3:$F$50,'Input - Admin &amp; Management'!$G$3:$G$50,"Finance Manager",'Input - Admin &amp; Management'!$H$3:$H$50,"M",'Input - Admin &amp; Management'!$I$3:$I$50,"NT"),0)</f>
        <v>0</v>
      </c>
      <c r="AC67" s="21">
        <f>IFERROR(_xlfn.MAXIFS('Input - Admin &amp; Management'!$F$3:$F$50,'Input - Admin &amp; Management'!$G$3:$G$50,"Finance Manager",'Input - Admin &amp; Management'!$H$3:$H$50,"M",'Input - Admin &amp; Management'!$I$3:$I$50,"NT"),0)</f>
        <v>0</v>
      </c>
      <c r="AD67" s="10">
        <f>COUNTIFS('Input - Admin &amp; Management'!$G$3:$G$50,"Finance Manager",'Input - Admin &amp; Management'!$H$3:$H$50,"M",'Input - Admin &amp; Management'!$I$3:$I$50,"ACT")</f>
        <v>0</v>
      </c>
      <c r="AE67" s="12">
        <f>IFERROR(AVERAGEIFS('Input - Admin &amp; Management'!$F$3:$F$50,'Input - Admin &amp; Management'!$G$3:$G$50,"Finance Manager",'Input - Admin &amp; Management'!$H$3:$H$50,"M",'Input - Admin &amp; Management'!$I$3:$I$50,"ACT"),0)</f>
        <v>0</v>
      </c>
      <c r="AF67" s="12">
        <f>IFERROR(_xlfn.MINIFS('Input - Admin &amp; Management'!$F$3:$F$50,'Input - Admin &amp; Management'!$G$3:$G$50,"Finance Manager",'Input - Admin &amp; Management'!$H$3:$H$50,"M",'Input - Admin &amp; Management'!$I$3:$I$50,"ACT"),0)</f>
        <v>0</v>
      </c>
      <c r="AG67" s="15">
        <f>IFERROR(_xlfn.MAXIFS('Input - Admin &amp; Management'!$F$3:$F$50,'Input - Admin &amp; Management'!$G$3:$G$50,"Finance Manager",'Input - Admin &amp; Management'!$H$3:$H$50,"M",'Input - Admin &amp; Management'!$I$3:$I$50,"ACT"),0)</f>
        <v>0</v>
      </c>
    </row>
    <row r="68" spans="1:33" x14ac:dyDescent="0.35">
      <c r="A68" s="11" t="s">
        <v>112</v>
      </c>
      <c r="B68" s="19">
        <f>COUNTIFS('Input - Admin &amp; Management'!$G$3:$G$50,"Finance Manager",'Input - Admin &amp; Management'!$H$3:$H$50,"F",'Input - Admin &amp; Management'!$I$3:$I$50,"QLD")</f>
        <v>0</v>
      </c>
      <c r="C68" s="20">
        <f>IFERROR(AVERAGEIFS('Input - Admin &amp; Management'!$F$3:$F$50,'Input - Admin &amp; Management'!$G$3:$G$50,"Finance Manager",'Input - Admin &amp; Management'!$H$3:$H$50,"F",'Input - Admin &amp; Management'!$I$3:$I$50,"QLD"),0)</f>
        <v>0</v>
      </c>
      <c r="D68" s="20">
        <f>IFERROR(_xlfn.MINIFS('Input - Admin &amp; Management'!$F$3:$F$50,'Input - Admin &amp; Management'!$G$3:$G$50,"Finance Manager",'Input - Admin &amp; Management'!$H$3:$H$50,"F",'Input - Admin &amp; Management'!$I$3:$I$50,"QLD"),0)</f>
        <v>0</v>
      </c>
      <c r="E68" s="21">
        <f>IFERROR(_xlfn.MAXIFS('Input - Admin &amp; Management'!$F$3:$F$50,'Input - Admin &amp; Management'!$G$3:$G$50,"Finance Manager",'Input - Admin &amp; Management'!$H$3:$H$50,"F",'Input - Admin &amp; Management'!$I$3:$I$50,"QLD"),0)</f>
        <v>0</v>
      </c>
      <c r="F68" s="10">
        <f>COUNTIFS('Input - Admin &amp; Management'!$G$3:$G$50,"Finance Manager",'Input - Admin &amp; Management'!$H$3:$H$50,"F",'Input - Admin &amp; Management'!$I$3:$I$50,"NSW")</f>
        <v>0</v>
      </c>
      <c r="G68" s="12">
        <f>IFERROR(AVERAGEIFS('Input - Admin &amp; Management'!$F$3:$F$50,'Input - Admin &amp; Management'!$G$3:$G$50,"Finance Manager",'Input - Admin &amp; Management'!$H$3:$H$50,"F",'Input - Admin &amp; Management'!$I$3:$I$50,"NSW"),0)</f>
        <v>0</v>
      </c>
      <c r="H68" s="12">
        <f>IFERROR(_xlfn.MINIFS('Input - Admin &amp; Management'!$F$3:$F$50,'Input - Admin &amp; Management'!$G$3:$G$50,"Finance Manager",'Input - Admin &amp; Management'!$H$3:$H$50,"F",'Input - Admin &amp; Management'!$I$3:$I$50,"NSW"),0)</f>
        <v>0</v>
      </c>
      <c r="I68" s="15">
        <f>IFERROR(_xlfn.MAXIFS('Input - Admin &amp; Management'!$F$3:$F$50,'Input - Admin &amp; Management'!$G$3:$G$50,"Finance Manager",'Input - Admin &amp; Management'!$H$3:$H$50,"F",'Input - Admin &amp; Management'!$I$3:$I$50,"NSW"),0)</f>
        <v>0</v>
      </c>
      <c r="J68" s="19">
        <f>COUNTIFS('Input - Admin &amp; Management'!$G$3:$G$50,"Finance Manager",'Input - Admin &amp; Management'!$H$3:$H$50,"F",'Input - Admin &amp; Management'!$I$3:$I$50,"VIC")</f>
        <v>0</v>
      </c>
      <c r="K68" s="20">
        <f>IFERROR(AVERAGEIFS('Input - Admin &amp; Management'!$F$3:$F$50,'Input - Admin &amp; Management'!$G$3:$G$50,"Finance Manager",'Input - Admin &amp; Management'!$H$3:$H$50,"F",'Input - Admin &amp; Management'!$I$3:$I$50,"VIC"),0)</f>
        <v>0</v>
      </c>
      <c r="L68" s="20">
        <f>IFERROR(_xlfn.MINIFS('Input - Admin &amp; Management'!$F$3:$F$50,'Input - Admin &amp; Management'!$G$3:$G$50,"Finance Manager",'Input - Admin &amp; Management'!$H$3:$H$50,"F",'Input - Admin &amp; Management'!$I$3:$I$50,"VIC"),0)</f>
        <v>0</v>
      </c>
      <c r="M68" s="21">
        <f>IFERROR(_xlfn.MAXIFS('Input - Admin &amp; Management'!$F$3:$F$50,'Input - Admin &amp; Management'!$G$3:$G$50,"Finance Manager",'Input - Admin &amp; Management'!$H$3:$H$50,"F",'Input - Admin &amp; Management'!$I$3:$I$50,"VIC"),0)</f>
        <v>0</v>
      </c>
      <c r="N68" s="10">
        <f>COUNTIFS('Input - Admin &amp; Management'!$G$3:$G$50,"Finance Manager",'Input - Admin &amp; Management'!$H$3:$H$50,"F",'Input - Admin &amp; Management'!$I$3:$I$50,"SA")</f>
        <v>0</v>
      </c>
      <c r="O68" s="12">
        <f>IFERROR(AVERAGEIFS('Input - Admin &amp; Management'!$F$3:$F$50,'Input - Admin &amp; Management'!$G$3:$G$50,"Finance Manager",'Input - Admin &amp; Management'!$H$3:$H$50,"F",'Input - Admin &amp; Management'!$I$3:$I$50,"SA"),0)</f>
        <v>0</v>
      </c>
      <c r="P68" s="12">
        <f>IFERROR(_xlfn.MINIFS('Input - Admin &amp; Management'!$F$3:$F$50,'Input - Admin &amp; Management'!$G$3:$G$50,"Finance Manager",'Input - Admin &amp; Management'!$H$3:$H$50,"F",'Input - Admin &amp; Management'!$I$3:$I$50,"SA"),0)</f>
        <v>0</v>
      </c>
      <c r="Q68" s="15">
        <f>IFERROR(_xlfn.MAXIFS('Input - Admin &amp; Management'!$F$3:$F$50,'Input - Admin &amp; Management'!$G$3:$G$50,"Finance Manager",'Input - Admin &amp; Management'!$H$3:$H$50,"F",'Input - Admin &amp; Management'!$I$3:$I$50,"SA"),0)</f>
        <v>0</v>
      </c>
      <c r="R68" s="19">
        <f>COUNTIFS('Input - Admin &amp; Management'!$G$3:$G$50,"Finance Manager",'Input - Admin &amp; Management'!$H$3:$H$50,"F",'Input - Admin &amp; Management'!$I$3:$I$50,"WA")</f>
        <v>0</v>
      </c>
      <c r="S68" s="20">
        <f>IFERROR(AVERAGEIFS('Input - Admin &amp; Management'!$F$3:$F$50,'Input - Admin &amp; Management'!$G$3:$G$50,"Finance Manager",'Input - Admin &amp; Management'!$H$3:$H$50,"F",'Input - Admin &amp; Management'!$I$3:$I$50,"WA"),0)</f>
        <v>0</v>
      </c>
      <c r="T68" s="20">
        <f>IFERROR(_xlfn.MINIFS('Input - Admin &amp; Management'!$F$3:$F$50,'Input - Admin &amp; Management'!$G$3:$G$50,"Finance Manager",'Input - Admin &amp; Management'!$H$3:$H$50,"F",'Input - Admin &amp; Management'!$I$3:$I$50,"WA"),0)</f>
        <v>0</v>
      </c>
      <c r="U68" s="21">
        <f>IFERROR(_xlfn.MAXIFS('Input - Admin &amp; Management'!$F$3:$F$50,'Input - Admin &amp; Management'!$G$3:$G$50,"Finance Manager",'Input - Admin &amp; Management'!$H$3:$H$50,"F",'Input - Admin &amp; Management'!$I$3:$I$50,"WA"),0)</f>
        <v>0</v>
      </c>
      <c r="V68" s="10">
        <f>COUNTIFS('Input - Admin &amp; Management'!$G$3:$G$50,"Finance Manager",'Input - Admin &amp; Management'!$H$3:$H$50,"F",'Input - Admin &amp; Management'!$I$3:$I$50,"TAS")</f>
        <v>0</v>
      </c>
      <c r="W68" s="12">
        <f>IFERROR(AVERAGEIFS('Input - Admin &amp; Management'!$F$3:$F$50,'Input - Admin &amp; Management'!$G$3:$G$50,"Finance Manager",'Input - Admin &amp; Management'!$H$3:$H$50,"F",'Input - Admin &amp; Management'!$I$3:$I$50,"TAS"),0)</f>
        <v>0</v>
      </c>
      <c r="X68" s="12">
        <f>IFERROR(_xlfn.MINIFS('Input - Admin &amp; Management'!$F$3:$F$50,'Input - Admin &amp; Management'!$G$3:$G$50,"Finance Manager",'Input - Admin &amp; Management'!$H$3:$H$50,"F",'Input - Admin &amp; Management'!$I$3:$I$50,"TAS"),0)</f>
        <v>0</v>
      </c>
      <c r="Y68" s="15">
        <f>IFERROR(_xlfn.MAXIFS('Input - Admin &amp; Management'!$F$3:$F$50,'Input - Admin &amp; Management'!$G$3:$G$50,"Finance Manager",'Input - Admin &amp; Management'!$H$3:$H$50,"F",'Input - Admin &amp; Management'!$I$3:$I$50,"TAS"),0)</f>
        <v>0</v>
      </c>
      <c r="Z68" s="19">
        <f>COUNTIFS('Input - Admin &amp; Management'!$G$3:$G$50,"Finance Manager",'Input - Admin &amp; Management'!$H$3:$H$50,"F",'Input - Admin &amp; Management'!$I$3:$I$50,"NT")</f>
        <v>0</v>
      </c>
      <c r="AA68" s="20">
        <f>IFERROR(AVERAGEIFS('Input - Admin &amp; Management'!$F$3:$F$50,'Input - Admin &amp; Management'!$G$3:$G$50,"Finance Manager",'Input - Admin &amp; Management'!$H$3:$H$50,"F",'Input - Admin &amp; Management'!$I$3:$I$50,"NT"),0)</f>
        <v>0</v>
      </c>
      <c r="AB68" s="20">
        <f>IFERROR(_xlfn.MINIFS('Input - Admin &amp; Management'!$F$3:$F$50,'Input - Admin &amp; Management'!$G$3:$G$50,"Finance Manager",'Input - Admin &amp; Management'!$H$3:$H$50,"F",'Input - Admin &amp; Management'!$I$3:$I$50,"NT"),0)</f>
        <v>0</v>
      </c>
      <c r="AC68" s="21">
        <f>IFERROR(_xlfn.MAXIFS('Input - Admin &amp; Management'!$F$3:$F$50,'Input - Admin &amp; Management'!$G$3:$G$50,"Finance Manager",'Input - Admin &amp; Management'!$H$3:$H$50,"F",'Input - Admin &amp; Management'!$I$3:$I$50,"NT"),0)</f>
        <v>0</v>
      </c>
      <c r="AD68" s="10">
        <f>COUNTIFS('Input - Admin &amp; Management'!$G$3:$G$50,"Finance Manager",'Input - Admin &amp; Management'!$H$3:$H$50,"F",'Input - Admin &amp; Management'!$I$3:$I$50,"ACT")</f>
        <v>0</v>
      </c>
      <c r="AE68" s="12">
        <f>IFERROR(AVERAGEIFS('Input - Admin &amp; Management'!$F$3:$F$50,'Input - Admin &amp; Management'!$G$3:$G$50,"Finance Manager",'Input - Admin &amp; Management'!$H$3:$H$50,"F",'Input - Admin &amp; Management'!$I$3:$I$50,"ACT"),0)</f>
        <v>0</v>
      </c>
      <c r="AF68" s="12">
        <f>IFERROR(_xlfn.MINIFS('Input - Admin &amp; Management'!$F$3:$F$50,'Input - Admin &amp; Management'!$G$3:$G$50,"Finance Manager",'Input - Admin &amp; Management'!$H$3:$H$50,"F",'Input - Admin &amp; Management'!$I$3:$I$50,"ACT"),0)</f>
        <v>0</v>
      </c>
      <c r="AG68" s="15">
        <f>IFERROR(_xlfn.MAXIFS('Input - Admin &amp; Management'!$F$3:$F$50,'Input - Admin &amp; Management'!$G$3:$G$50,"Finance Manager",'Input - Admin &amp; Management'!$H$3:$H$50,"F",'Input - Admin &amp; Management'!$I$3:$I$50,"ACT"),0)</f>
        <v>0</v>
      </c>
    </row>
    <row r="69" spans="1:33" x14ac:dyDescent="0.35">
      <c r="A69" s="11" t="s">
        <v>113</v>
      </c>
      <c r="B69" s="19">
        <f>COUNTIFS('Input - Admin &amp; Management'!$G$3:$G$50,"Financial Controller (Accounting Qualification)",'Input - Admin &amp; Management'!$H$3:$H$50,"M",'Input - Admin &amp; Management'!$I$3:$I$50,"QLD")</f>
        <v>0</v>
      </c>
      <c r="C69" s="20">
        <f>IFERROR(AVERAGEIFS('Input - Admin &amp; Management'!$F$3:$F$50,'Input - Admin &amp; Management'!$G$3:$G$50,"Financial Controller (Accounting Qualification)",'Input - Admin &amp; Management'!$H$3:$H$50,"M",'Input - Admin &amp; Management'!$I$3:$I$50,"QLD"),0)</f>
        <v>0</v>
      </c>
      <c r="D69" s="20">
        <f>IFERROR(_xlfn.MINIFS('Input - Admin &amp; Management'!$F$3:$F$50,'Input - Admin &amp; Management'!$G$3:$G$50,"Financial Controller (Accounting Qualification)",'Input - Admin &amp; Management'!$H$3:$H$50,"M",'Input - Admin &amp; Management'!$I$3:$I$50,"QLD"),0)</f>
        <v>0</v>
      </c>
      <c r="E69" s="21">
        <f>IFERROR(_xlfn.MAXIFS('Input - Admin &amp; Management'!$F$3:$F$50,'Input - Admin &amp; Management'!$G$3:$G$50,"Financial Controller (Accounting Qualification)",'Input - Admin &amp; Management'!$H$3:$H$50,"F",'Input - Admin &amp; Management'!$I$3:$I$50,"QLD"),0)</f>
        <v>0</v>
      </c>
      <c r="F69" s="10">
        <f>COUNTIFS('Input - Admin &amp; Management'!$G$3:$G$50,"Financial Controller (Accounting Qualification)",'Input - Admin &amp; Management'!$H$3:$H$50,"M",'Input - Admin &amp; Management'!$I$3:$I$50,"NSW")</f>
        <v>0</v>
      </c>
      <c r="G69" s="12">
        <f>IFERROR(AVERAGEIFS('Input - Admin &amp; Management'!$F$3:$F$50,'Input - Admin &amp; Management'!$G$3:$G$50,"Financial Controller (Accounting Qualification)",'Input - Admin &amp; Management'!$H$3:$H$50,"M",'Input - Admin &amp; Management'!$I$3:$I$50,"NSW"),0)</f>
        <v>0</v>
      </c>
      <c r="H69" s="12">
        <f>IFERROR(_xlfn.MINIFS('Input - Admin &amp; Management'!$F$3:$F$50,'Input - Admin &amp; Management'!$G$3:$G$50,"Financial Controller (Accounting Qualification)",'Input - Admin &amp; Management'!$H$3:$H$50,"M",'Input - Admin &amp; Management'!$I$3:$I$50,"NSW"),0)</f>
        <v>0</v>
      </c>
      <c r="I69" s="15">
        <f>IFERROR(_xlfn.MAXIFS('Input - Admin &amp; Management'!$F$3:$F$50,'Input - Admin &amp; Management'!$G$3:$G$50,"Financial Controller (Accounting Qualification)",'Input - Admin &amp; Management'!$H$3:$H$50,"F",'Input - Admin &amp; Management'!$I$3:$I$50,"NSW"),0)</f>
        <v>0</v>
      </c>
      <c r="J69" s="19">
        <f>COUNTIFS('Input - Admin &amp; Management'!$G$3:$G$50,"Financial Controller (Accounting Qualification)",'Input - Admin &amp; Management'!$H$3:$H$50,"M",'Input - Admin &amp; Management'!$I$3:$I$50,"VIC")</f>
        <v>0</v>
      </c>
      <c r="K69" s="20">
        <f>IFERROR(AVERAGEIFS('Input - Admin &amp; Management'!$F$3:$F$50,'Input - Admin &amp; Management'!$G$3:$G$50,"Financial Controller (Accounting Qualification)",'Input - Admin &amp; Management'!$H$3:$H$50,"M",'Input - Admin &amp; Management'!$I$3:$I$50,"VIC"),0)</f>
        <v>0</v>
      </c>
      <c r="L69" s="20">
        <f>IFERROR(_xlfn.MINIFS('Input - Admin &amp; Management'!$F$3:$F$50,'Input - Admin &amp; Management'!$G$3:$G$50,"Financial Controller (Accounting Qualification)",'Input - Admin &amp; Management'!$H$3:$H$50,"M",'Input - Admin &amp; Management'!$I$3:$I$50,"VIC"),0)</f>
        <v>0</v>
      </c>
      <c r="M69" s="21">
        <f>IFERROR(_xlfn.MAXIFS('Input - Admin &amp; Management'!$F$3:$F$50,'Input - Admin &amp; Management'!$G$3:$G$50,"Financial Controller (Accounting Qualification)",'Input - Admin &amp; Management'!$H$3:$H$50,"F",'Input - Admin &amp; Management'!$I$3:$I$50,"VIC"),0)</f>
        <v>0</v>
      </c>
      <c r="N69" s="10">
        <f>COUNTIFS('Input - Admin &amp; Management'!$G$3:$G$50,"Financial Controller (Accounting Qualification)",'Input - Admin &amp; Management'!$H$3:$H$50,"M",'Input - Admin &amp; Management'!$I$3:$I$50,"SA")</f>
        <v>0</v>
      </c>
      <c r="O69" s="12">
        <f>IFERROR(AVERAGEIFS('Input - Admin &amp; Management'!$F$3:$F$50,'Input - Admin &amp; Management'!$G$3:$G$50,"Financial Controller (Accounting Qualification)",'Input - Admin &amp; Management'!$H$3:$H$50,"M",'Input - Admin &amp; Management'!$I$3:$I$50,"SA"),0)</f>
        <v>0</v>
      </c>
      <c r="P69" s="12">
        <f>IFERROR(_xlfn.MINIFS('Input - Admin &amp; Management'!$F$3:$F$50,'Input - Admin &amp; Management'!$G$3:$G$50,"Financial Controller (Accounting Qualification)",'Input - Admin &amp; Management'!$H$3:$H$50,"M",'Input - Admin &amp; Management'!$I$3:$I$50,"SA"),0)</f>
        <v>0</v>
      </c>
      <c r="Q69" s="15">
        <f>IFERROR(_xlfn.MAXIFS('Input - Admin &amp; Management'!$F$3:$F$50,'Input - Admin &amp; Management'!$G$3:$G$50,"Financial Controller (Accounting Qualification)",'Input - Admin &amp; Management'!$H$3:$H$50,"F",'Input - Admin &amp; Management'!$I$3:$I$50,"SA"),0)</f>
        <v>0</v>
      </c>
      <c r="R69" s="19">
        <f>COUNTIFS('Input - Admin &amp; Management'!$G$3:$G$50,"Financial Controller (Accounting Qualification)",'Input - Admin &amp; Management'!$H$3:$H$50,"M",'Input - Admin &amp; Management'!$I$3:$I$50,"WA")</f>
        <v>0</v>
      </c>
      <c r="S69" s="20">
        <f>IFERROR(AVERAGEIFS('Input - Admin &amp; Management'!$F$3:$F$50,'Input - Admin &amp; Management'!$G$3:$G$50,"Financial Controller (Accounting Qualification)",'Input - Admin &amp; Management'!$H$3:$H$50,"M",'Input - Admin &amp; Management'!$I$3:$I$50,"WA"),0)</f>
        <v>0</v>
      </c>
      <c r="T69" s="20">
        <f>IFERROR(_xlfn.MINIFS('Input - Admin &amp; Management'!$F$3:$F$50,'Input - Admin &amp; Management'!$G$3:$G$50,"Financial Controller (Accounting Qualification)",'Input - Admin &amp; Management'!$H$3:$H$50,"M",'Input - Admin &amp; Management'!$I$3:$I$50,"WA"),0)</f>
        <v>0</v>
      </c>
      <c r="U69" s="21">
        <f>IFERROR(_xlfn.MAXIFS('Input - Admin &amp; Management'!$F$3:$F$50,'Input - Admin &amp; Management'!$G$3:$G$50,"Financial Controller (Accounting Qualification)",'Input - Admin &amp; Management'!$H$3:$H$50,"F",'Input - Admin &amp; Management'!$I$3:$I$50,"WA"),0)</f>
        <v>0</v>
      </c>
      <c r="V69" s="10">
        <f>COUNTIFS('Input - Admin &amp; Management'!$G$3:$G$50,"Financial Controller (Accounting Qualification)",'Input - Admin &amp; Management'!$H$3:$H$50,"M",'Input - Admin &amp; Management'!$I$3:$I$50,"TAS")</f>
        <v>0</v>
      </c>
      <c r="W69" s="12">
        <f>IFERROR(AVERAGEIFS('Input - Admin &amp; Management'!$F$3:$F$50,'Input - Admin &amp; Management'!$G$3:$G$50,"Financial Controller (Accounting Qualification)",'Input - Admin &amp; Management'!$H$3:$H$50,"M",'Input - Admin &amp; Management'!$I$3:$I$50,"TAS"),0)</f>
        <v>0</v>
      </c>
      <c r="X69" s="12">
        <f>IFERROR(_xlfn.MINIFS('Input - Admin &amp; Management'!$F$3:$F$50,'Input - Admin &amp; Management'!$G$3:$G$50,"Financial Controller (Accounting Qualification)",'Input - Admin &amp; Management'!$H$3:$H$50,"M",'Input - Admin &amp; Management'!$I$3:$I$50,"TAS"),0)</f>
        <v>0</v>
      </c>
      <c r="Y69" s="15">
        <f>IFERROR(_xlfn.MAXIFS('Input - Admin &amp; Management'!$F$3:$F$50,'Input - Admin &amp; Management'!$G$3:$G$50,"Financial Controller (Accounting Qualification)",'Input - Admin &amp; Management'!$H$3:$H$50,"F",'Input - Admin &amp; Management'!$I$3:$I$50,"TAS"),0)</f>
        <v>0</v>
      </c>
      <c r="Z69" s="19">
        <f>COUNTIFS('Input - Admin &amp; Management'!$G$3:$G$50,"Financial Controller (Accounting Qualification)",'Input - Admin &amp; Management'!$H$3:$H$50,"M",'Input - Admin &amp; Management'!$I$3:$I$50,"NT")</f>
        <v>0</v>
      </c>
      <c r="AA69" s="20">
        <f>IFERROR(AVERAGEIFS('Input - Admin &amp; Management'!$F$3:$F$50,'Input - Admin &amp; Management'!$G$3:$G$50,"Financial Controller (Accounting Qualification)",'Input - Admin &amp; Management'!$H$3:$H$50,"M",'Input - Admin &amp; Management'!$I$3:$I$50,"NT"),0)</f>
        <v>0</v>
      </c>
      <c r="AB69" s="20">
        <f>IFERROR(_xlfn.MINIFS('Input - Admin &amp; Management'!$F$3:$F$50,'Input - Admin &amp; Management'!$G$3:$G$50,"Financial Controller (Accounting Qualification)",'Input - Admin &amp; Management'!$H$3:$H$50,"M",'Input - Admin &amp; Management'!$I$3:$I$50,"NT"),0)</f>
        <v>0</v>
      </c>
      <c r="AC69" s="21">
        <f>IFERROR(_xlfn.MAXIFS('Input - Admin &amp; Management'!$F$3:$F$50,'Input - Admin &amp; Management'!$G$3:$G$50,"Financial Controller (Accounting Qualification)",'Input - Admin &amp; Management'!$H$3:$H$50,"F",'Input - Admin &amp; Management'!$I$3:$I$50,"NT"),0)</f>
        <v>0</v>
      </c>
      <c r="AD69" s="10">
        <f>COUNTIFS('Input - Admin &amp; Management'!$G$3:$G$50,"Financial Controller (Accounting Qualification)",'Input - Admin &amp; Management'!$H$3:$H$50,"M",'Input - Admin &amp; Management'!$I$3:$I$50,"ACT")</f>
        <v>0</v>
      </c>
      <c r="AE69" s="12">
        <f>IFERROR(AVERAGEIFS('Input - Admin &amp; Management'!$F$3:$F$50,'Input - Admin &amp; Management'!$G$3:$G$50,"Financial Controller (Accounting Qualification)",'Input - Admin &amp; Management'!$H$3:$H$50,"M",'Input - Admin &amp; Management'!$I$3:$I$50,"ACT"),0)</f>
        <v>0</v>
      </c>
      <c r="AF69" s="12">
        <f>IFERROR(_xlfn.MINIFS('Input - Admin &amp; Management'!$F$3:$F$50,'Input - Admin &amp; Management'!$G$3:$G$50,"Financial Controller (Accounting Qualification)",'Input - Admin &amp; Management'!$H$3:$H$50,"M",'Input - Admin &amp; Management'!$I$3:$I$50,"ACT"),0)</f>
        <v>0</v>
      </c>
      <c r="AG69" s="15">
        <f>IFERROR(_xlfn.MAXIFS('Input - Admin &amp; Management'!$F$3:$F$50,'Input - Admin &amp; Management'!$G$3:$G$50,"Financial Controller (Accounting Qualification)",'Input - Admin &amp; Management'!$H$3:$H$50,"F",'Input - Admin &amp; Management'!$I$3:$I$50,"ACT"),0)</f>
        <v>0</v>
      </c>
    </row>
    <row r="70" spans="1:33" x14ac:dyDescent="0.35">
      <c r="A70" s="11" t="s">
        <v>114</v>
      </c>
      <c r="B70" s="19">
        <f>COUNTIFS('Input - Admin &amp; Management'!$G$3:$G$50,"Financial Controller (Accounting Qualification)",'Input - Admin &amp; Management'!$H$3:$H$50,"F",'Input - Admin &amp; Management'!$I$3:$I$50,"QLD")</f>
        <v>0</v>
      </c>
      <c r="C70" s="20">
        <f>IFERROR(AVERAGEIFS('Input - Admin &amp; Management'!$F$3:$F$50,'Input - Admin &amp; Management'!$G$3:$G$50,"Financial Controller (Accounting Qualification)",'Input - Admin &amp; Management'!$H$3:$H$50,"F",'Input - Admin &amp; Management'!$I$3:$I$50,"QLD"),0)</f>
        <v>0</v>
      </c>
      <c r="D70" s="20">
        <f>IFERROR(_xlfn.MINIFS('Input - Admin &amp; Management'!$F$3:$F$50,'Input - Admin &amp; Management'!$G$3:$G$50,"Financial Controller (Accounting Qualification)",'Input - Admin &amp; Management'!$H$3:$H$50,"F",'Input - Admin &amp; Management'!$I$3:$I$50,"QLD"),0)</f>
        <v>0</v>
      </c>
      <c r="E70" s="21">
        <f>IFERROR(_xlfn.MAXIFS('Input - Admin &amp; Management'!$F$3:$F$50,'Input - Admin &amp; Management'!$G$3:$G$50,"Financial Controller (Accounting Qualification)",'Input - Admin &amp; Management'!$H$3:$H$50,"M",'Input - Admin &amp; Management'!$I$3:$I$50,"QLD"),0)</f>
        <v>0</v>
      </c>
      <c r="F70" s="10">
        <f>COUNTIFS('Input - Admin &amp; Management'!$G$3:$G$50,"Financial Controller (Accounting Qualification)",'Input - Admin &amp; Management'!$H$3:$H$50,"F",'Input - Admin &amp; Management'!$I$3:$I$50,"NSW")</f>
        <v>0</v>
      </c>
      <c r="G70" s="12">
        <f>IFERROR(AVERAGEIFS('Input - Admin &amp; Management'!$F$3:$F$50,'Input - Admin &amp; Management'!$G$3:$G$50,"Financial Controller (Accounting Qualification)",'Input - Admin &amp; Management'!$H$3:$H$50,"F",'Input - Admin &amp; Management'!$I$3:$I$50,"NSW"),0)</f>
        <v>0</v>
      </c>
      <c r="H70" s="12">
        <f>IFERROR(_xlfn.MINIFS('Input - Admin &amp; Management'!$F$3:$F$50,'Input - Admin &amp; Management'!$G$3:$G$50,"Financial Controller (Accounting Qualification)",'Input - Admin &amp; Management'!$H$3:$H$50,"F",'Input - Admin &amp; Management'!$I$3:$I$50,"NSW"),0)</f>
        <v>0</v>
      </c>
      <c r="I70" s="15">
        <f>IFERROR(_xlfn.MAXIFS('Input - Admin &amp; Management'!$F$3:$F$50,'Input - Admin &amp; Management'!$G$3:$G$50,"Financial Controller (Accounting Qualification)",'Input - Admin &amp; Management'!$H$3:$H$50,"M",'Input - Admin &amp; Management'!$I$3:$I$50,"NSW"),0)</f>
        <v>0</v>
      </c>
      <c r="J70" s="19">
        <f>COUNTIFS('Input - Admin &amp; Management'!$G$3:$G$50,"Financial Controller (Accounting Qualification)",'Input - Admin &amp; Management'!$H$3:$H$50,"F",'Input - Admin &amp; Management'!$I$3:$I$50,"VIC")</f>
        <v>0</v>
      </c>
      <c r="K70" s="20">
        <f>IFERROR(AVERAGEIFS('Input - Admin &amp; Management'!$F$3:$F$50,'Input - Admin &amp; Management'!$G$3:$G$50,"Financial Controller (Accounting Qualification)",'Input - Admin &amp; Management'!$H$3:$H$50,"F",'Input - Admin &amp; Management'!$I$3:$I$50,"VIC"),0)</f>
        <v>0</v>
      </c>
      <c r="L70" s="20">
        <f>IFERROR(_xlfn.MINIFS('Input - Admin &amp; Management'!$F$3:$F$50,'Input - Admin &amp; Management'!$G$3:$G$50,"Financial Controller (Accounting Qualification)",'Input - Admin &amp; Management'!$H$3:$H$50,"F",'Input - Admin &amp; Management'!$I$3:$I$50,"VIC"),0)</f>
        <v>0</v>
      </c>
      <c r="M70" s="21">
        <f>IFERROR(_xlfn.MAXIFS('Input - Admin &amp; Management'!$F$3:$F$50,'Input - Admin &amp; Management'!$G$3:$G$50,"Financial Controller (Accounting Qualification)",'Input - Admin &amp; Management'!$H$3:$H$50,"M",'Input - Admin &amp; Management'!$I$3:$I$50,"VIC"),0)</f>
        <v>0</v>
      </c>
      <c r="N70" s="10">
        <f>COUNTIFS('Input - Admin &amp; Management'!$G$3:$G$50,"Financial Controller (Accounting Qualification)",'Input - Admin &amp; Management'!$H$3:$H$50,"F",'Input - Admin &amp; Management'!$I$3:$I$50,"SA")</f>
        <v>0</v>
      </c>
      <c r="O70" s="12">
        <f>IFERROR(AVERAGEIFS('Input - Admin &amp; Management'!$F$3:$F$50,'Input - Admin &amp; Management'!$G$3:$G$50,"Financial Controller (Accounting Qualification)",'Input - Admin &amp; Management'!$H$3:$H$50,"F",'Input - Admin &amp; Management'!$I$3:$I$50,"SA"),0)</f>
        <v>0</v>
      </c>
      <c r="P70" s="12">
        <f>IFERROR(_xlfn.MINIFS('Input - Admin &amp; Management'!$F$3:$F$50,'Input - Admin &amp; Management'!$G$3:$G$50,"Financial Controller (Accounting Qualification)",'Input - Admin &amp; Management'!$H$3:$H$50,"F",'Input - Admin &amp; Management'!$I$3:$I$50,"SA"),0)</f>
        <v>0</v>
      </c>
      <c r="Q70" s="15">
        <f>IFERROR(_xlfn.MAXIFS('Input - Admin &amp; Management'!$F$3:$F$50,'Input - Admin &amp; Management'!$G$3:$G$50,"Financial Controller (Accounting Qualification)",'Input - Admin &amp; Management'!$H$3:$H$50,"M",'Input - Admin &amp; Management'!$I$3:$I$50,"SA"),0)</f>
        <v>0</v>
      </c>
      <c r="R70" s="19">
        <f>COUNTIFS('Input - Admin &amp; Management'!$G$3:$G$50,"Financial Controller (Accounting Qualification)",'Input - Admin &amp; Management'!$H$3:$H$50,"F",'Input - Admin &amp; Management'!$I$3:$I$50,"WA")</f>
        <v>0</v>
      </c>
      <c r="S70" s="20">
        <f>IFERROR(AVERAGEIFS('Input - Admin &amp; Management'!$F$3:$F$50,'Input - Admin &amp; Management'!$G$3:$G$50,"Financial Controller (Accounting Qualification)",'Input - Admin &amp; Management'!$H$3:$H$50,"F",'Input - Admin &amp; Management'!$I$3:$I$50,"WA"),0)</f>
        <v>0</v>
      </c>
      <c r="T70" s="20">
        <f>IFERROR(_xlfn.MINIFS('Input - Admin &amp; Management'!$F$3:$F$50,'Input - Admin &amp; Management'!$G$3:$G$50,"Financial Controller (Accounting Qualification)",'Input - Admin &amp; Management'!$H$3:$H$50,"F",'Input - Admin &amp; Management'!$I$3:$I$50,"WA"),0)</f>
        <v>0</v>
      </c>
      <c r="U70" s="21">
        <f>IFERROR(_xlfn.MAXIFS('Input - Admin &amp; Management'!$F$3:$F$50,'Input - Admin &amp; Management'!$G$3:$G$50,"Financial Controller (Accounting Qualification)",'Input - Admin &amp; Management'!$H$3:$H$50,"M",'Input - Admin &amp; Management'!$I$3:$I$50,"WA"),0)</f>
        <v>0</v>
      </c>
      <c r="V70" s="10">
        <f>COUNTIFS('Input - Admin &amp; Management'!$G$3:$G$50,"Financial Controller (Accounting Qualification)",'Input - Admin &amp; Management'!$H$3:$H$50,"F",'Input - Admin &amp; Management'!$I$3:$I$50,"TAS")</f>
        <v>0</v>
      </c>
      <c r="W70" s="12">
        <f>IFERROR(AVERAGEIFS('Input - Admin &amp; Management'!$F$3:$F$50,'Input - Admin &amp; Management'!$G$3:$G$50,"Financial Controller (Accounting Qualification)",'Input - Admin &amp; Management'!$H$3:$H$50,"F",'Input - Admin &amp; Management'!$I$3:$I$50,"TAS"),0)</f>
        <v>0</v>
      </c>
      <c r="X70" s="12">
        <f>IFERROR(_xlfn.MINIFS('Input - Admin &amp; Management'!$F$3:$F$50,'Input - Admin &amp; Management'!$G$3:$G$50,"Financial Controller (Accounting Qualification)",'Input - Admin &amp; Management'!$H$3:$H$50,"F",'Input - Admin &amp; Management'!$I$3:$I$50,"TAS"),0)</f>
        <v>0</v>
      </c>
      <c r="Y70" s="15">
        <f>IFERROR(_xlfn.MAXIFS('Input - Admin &amp; Management'!$F$3:$F$50,'Input - Admin &amp; Management'!$G$3:$G$50,"Financial Controller (Accounting Qualification)",'Input - Admin &amp; Management'!$H$3:$H$50,"M",'Input - Admin &amp; Management'!$I$3:$I$50,"TAS"),0)</f>
        <v>0</v>
      </c>
      <c r="Z70" s="19">
        <f>COUNTIFS('Input - Admin &amp; Management'!$G$3:$G$50,"Financial Controller (Accounting Qualification)",'Input - Admin &amp; Management'!$H$3:$H$50,"F",'Input - Admin &amp; Management'!$I$3:$I$50,"NT")</f>
        <v>0</v>
      </c>
      <c r="AA70" s="20">
        <f>IFERROR(AVERAGEIFS('Input - Admin &amp; Management'!$F$3:$F$50,'Input - Admin &amp; Management'!$G$3:$G$50,"Financial Controller (Accounting Qualification)",'Input - Admin &amp; Management'!$H$3:$H$50,"F",'Input - Admin &amp; Management'!$I$3:$I$50,"NT"),0)</f>
        <v>0</v>
      </c>
      <c r="AB70" s="20">
        <f>IFERROR(_xlfn.MINIFS('Input - Admin &amp; Management'!$F$3:$F$50,'Input - Admin &amp; Management'!$G$3:$G$50,"Financial Controller (Accounting Qualification)",'Input - Admin &amp; Management'!$H$3:$H$50,"F",'Input - Admin &amp; Management'!$I$3:$I$50,"NT"),0)</f>
        <v>0</v>
      </c>
      <c r="AC70" s="21">
        <f>IFERROR(_xlfn.MAXIFS('Input - Admin &amp; Management'!$F$3:$F$50,'Input - Admin &amp; Management'!$G$3:$G$50,"Financial Controller (Accounting Qualification)",'Input - Admin &amp; Management'!$H$3:$H$50,"M",'Input - Admin &amp; Management'!$I$3:$I$50,"NT"),0)</f>
        <v>0</v>
      </c>
      <c r="AD70" s="10">
        <f>COUNTIFS('Input - Admin &amp; Management'!$G$3:$G$50,"Financial Controller (Accounting Qualification)",'Input - Admin &amp; Management'!$H$3:$H$50,"F",'Input - Admin &amp; Management'!$I$3:$I$50,"ACT")</f>
        <v>0</v>
      </c>
      <c r="AE70" s="12">
        <f>IFERROR(AVERAGEIFS('Input - Admin &amp; Management'!$F$3:$F$50,'Input - Admin &amp; Management'!$G$3:$G$50,"Financial Controller (Accounting Qualification)",'Input - Admin &amp; Management'!$H$3:$H$50,"F",'Input - Admin &amp; Management'!$I$3:$I$50,"ACT"),0)</f>
        <v>0</v>
      </c>
      <c r="AF70" s="12">
        <f>IFERROR(_xlfn.MINIFS('Input - Admin &amp; Management'!$F$3:$F$50,'Input - Admin &amp; Management'!$G$3:$G$50,"Financial Controller (Accounting Qualification)",'Input - Admin &amp; Management'!$H$3:$H$50,"F",'Input - Admin &amp; Management'!$I$3:$I$50,"ACT"),0)</f>
        <v>0</v>
      </c>
      <c r="AG70" s="15">
        <f>IFERROR(_xlfn.MAXIFS('Input - Admin &amp; Management'!$F$3:$F$50,'Input - Admin &amp; Management'!$G$3:$G$50,"Financial Controller (Accounting Qualification)",'Input - Admin &amp; Management'!$H$3:$H$50,"M",'Input - Admin &amp; Management'!$I$3:$I$50,"ACT"),0)</f>
        <v>0</v>
      </c>
    </row>
    <row r="71" spans="1:33" x14ac:dyDescent="0.35">
      <c r="A71" s="11" t="s">
        <v>115</v>
      </c>
      <c r="B71" s="19">
        <f>COUNTIFS('Input - Admin &amp; Management'!$G$3:$G$50,"Human Resource Manager",'Input - Admin &amp; Management'!$H$3:$H$50,"M",'Input - Admin &amp; Management'!$I$3:$I$50,"QLD")</f>
        <v>0</v>
      </c>
      <c r="C71" s="20">
        <f>IFERROR(AVERAGEIFS('Input - Admin &amp; Management'!$F$3:$F$50,'Input - Admin &amp; Management'!$G$3:$G$50,"Human Resource Manager",'Input - Admin &amp; Management'!$H$3:$H$50,"M",'Input - Admin &amp; Management'!$I$3:$I$50,"QLD"),0)</f>
        <v>0</v>
      </c>
      <c r="D71" s="20">
        <f>IFERROR(_xlfn.MINIFS('Input - Admin &amp; Management'!$F$3:$F$50,'Input - Admin &amp; Management'!$G$3:$G$50,"Human Resource Manager",'Input - Admin &amp; Management'!$H$3:$H$50,"M",'Input - Admin &amp; Management'!$I$3:$I$50,"QLD"),0)</f>
        <v>0</v>
      </c>
      <c r="E71" s="21">
        <f>IFERROR(_xlfn.MAXIFS('Input - Admin &amp; Management'!$F$3:$F$50,'Input - Admin &amp; Management'!$G$3:$G$50,"Human Resource Manager",'Input - Admin &amp; Management'!$H$3:$H$50,"M",'Input - Admin &amp; Management'!$I$3:$I$50,"QLD"),0)</f>
        <v>0</v>
      </c>
      <c r="F71" s="10">
        <f>COUNTIFS('Input - Admin &amp; Management'!$G$3:$G$50,"Human Resource Manager",'Input - Admin &amp; Management'!$H$3:$H$50,"M",'Input - Admin &amp; Management'!$I$3:$I$50,"NSW")</f>
        <v>0</v>
      </c>
      <c r="G71" s="12">
        <f>IFERROR(AVERAGEIFS('Input - Admin &amp; Management'!$F$3:$F$50,'Input - Admin &amp; Management'!$G$3:$G$50,"Human Resource Manager",'Input - Admin &amp; Management'!$H$3:$H$50,"M",'Input - Admin &amp; Management'!$I$3:$I$50,"NSW"),0)</f>
        <v>0</v>
      </c>
      <c r="H71" s="12">
        <f>IFERROR(_xlfn.MINIFS('Input - Admin &amp; Management'!$F$3:$F$50,'Input - Admin &amp; Management'!$G$3:$G$50,"Human Resource Manager",'Input - Admin &amp; Management'!$H$3:$H$50,"M",'Input - Admin &amp; Management'!$I$3:$I$50,"NSW"),0)</f>
        <v>0</v>
      </c>
      <c r="I71" s="15">
        <f>IFERROR(_xlfn.MAXIFS('Input - Admin &amp; Management'!$F$3:$F$50,'Input - Admin &amp; Management'!$G$3:$G$50,"Human Resource Manager",'Input - Admin &amp; Management'!$H$3:$H$50,"M",'Input - Admin &amp; Management'!$I$3:$I$50,"NSW"),0)</f>
        <v>0</v>
      </c>
      <c r="J71" s="19">
        <f>COUNTIFS('Input - Admin &amp; Management'!$G$3:$G$50,"Human Resource Manager",'Input - Admin &amp; Management'!$H$3:$H$50,"M",'Input - Admin &amp; Management'!$I$3:$I$50,"VIC")</f>
        <v>0</v>
      </c>
      <c r="K71" s="20">
        <f>IFERROR(AVERAGEIFS('Input - Admin &amp; Management'!$F$3:$F$50,'Input - Admin &amp; Management'!$G$3:$G$50,"Human Resource Manager",'Input - Admin &amp; Management'!$H$3:$H$50,"M",'Input - Admin &amp; Management'!$I$3:$I$50,"VIC"),0)</f>
        <v>0</v>
      </c>
      <c r="L71" s="20">
        <f>IFERROR(_xlfn.MINIFS('Input - Admin &amp; Management'!$F$3:$F$50,'Input - Admin &amp; Management'!$G$3:$G$50,"Human Resource Manager",'Input - Admin &amp; Management'!$H$3:$H$50,"M",'Input - Admin &amp; Management'!$I$3:$I$50,"VIC"),0)</f>
        <v>0</v>
      </c>
      <c r="M71" s="21">
        <f>IFERROR(_xlfn.MAXIFS('Input - Admin &amp; Management'!$F$3:$F$50,'Input - Admin &amp; Management'!$G$3:$G$50,"Human Resource Manager",'Input - Admin &amp; Management'!$H$3:$H$50,"M",'Input - Admin &amp; Management'!$I$3:$I$50,"VIC"),0)</f>
        <v>0</v>
      </c>
      <c r="N71" s="10">
        <f>COUNTIFS('Input - Admin &amp; Management'!$G$3:$G$50,"Human Resource Manager",'Input - Admin &amp; Management'!$H$3:$H$50,"M",'Input - Admin &amp; Management'!$I$3:$I$50,"SA")</f>
        <v>0</v>
      </c>
      <c r="O71" s="12">
        <f>IFERROR(AVERAGEIFS('Input - Admin &amp; Management'!$F$3:$F$50,'Input - Admin &amp; Management'!$G$3:$G$50,"Human Resource Manager",'Input - Admin &amp; Management'!$H$3:$H$50,"M",'Input - Admin &amp; Management'!$I$3:$I$50,"SA"),0)</f>
        <v>0</v>
      </c>
      <c r="P71" s="12">
        <f>IFERROR(_xlfn.MINIFS('Input - Admin &amp; Management'!$F$3:$F$50,'Input - Admin &amp; Management'!$G$3:$G$50,"Human Resource Manager",'Input - Admin &amp; Management'!$H$3:$H$50,"M",'Input - Admin &amp; Management'!$I$3:$I$50,"SA"),0)</f>
        <v>0</v>
      </c>
      <c r="Q71" s="15">
        <f>IFERROR(_xlfn.MAXIFS('Input - Admin &amp; Management'!$F$3:$F$50,'Input - Admin &amp; Management'!$G$3:$G$50,"Human Resource Manager",'Input - Admin &amp; Management'!$H$3:$H$50,"M",'Input - Admin &amp; Management'!$I$3:$I$50,"SA"),0)</f>
        <v>0</v>
      </c>
      <c r="R71" s="19">
        <f>COUNTIFS('Input - Admin &amp; Management'!$G$3:$G$50,"Human Resource Manager",'Input - Admin &amp; Management'!$H$3:$H$50,"M",'Input - Admin &amp; Management'!$I$3:$I$50,"WA")</f>
        <v>0</v>
      </c>
      <c r="S71" s="20">
        <f>IFERROR(AVERAGEIFS('Input - Admin &amp; Management'!$F$3:$F$50,'Input - Admin &amp; Management'!$G$3:$G$50,"Human Resource Manager",'Input - Admin &amp; Management'!$H$3:$H$50,"M",'Input - Admin &amp; Management'!$I$3:$I$50,"WA"),0)</f>
        <v>0</v>
      </c>
      <c r="T71" s="20">
        <f>IFERROR(_xlfn.MINIFS('Input - Admin &amp; Management'!$F$3:$F$50,'Input - Admin &amp; Management'!$G$3:$G$50,"Human Resource Manager",'Input - Admin &amp; Management'!$H$3:$H$50,"M",'Input - Admin &amp; Management'!$I$3:$I$50,"WA"),0)</f>
        <v>0</v>
      </c>
      <c r="U71" s="21">
        <f>IFERROR(_xlfn.MAXIFS('Input - Admin &amp; Management'!$F$3:$F$50,'Input - Admin &amp; Management'!$G$3:$G$50,"Human Resource Manager",'Input - Admin &amp; Management'!$H$3:$H$50,"M",'Input - Admin &amp; Management'!$I$3:$I$50,"WA"),0)</f>
        <v>0</v>
      </c>
      <c r="V71" s="10">
        <f>COUNTIFS('Input - Admin &amp; Management'!$G$3:$G$50,"Human Resource Manager",'Input - Admin &amp; Management'!$H$3:$H$50,"M",'Input - Admin &amp; Management'!$I$3:$I$50,"TAS")</f>
        <v>0</v>
      </c>
      <c r="W71" s="12">
        <f>IFERROR(AVERAGEIFS('Input - Admin &amp; Management'!$F$3:$F$50,'Input - Admin &amp; Management'!$G$3:$G$50,"Human Resource Manager",'Input - Admin &amp; Management'!$H$3:$H$50,"M",'Input - Admin &amp; Management'!$I$3:$I$50,"TAS"),0)</f>
        <v>0</v>
      </c>
      <c r="X71" s="12">
        <f>IFERROR(_xlfn.MINIFS('Input - Admin &amp; Management'!$F$3:$F$50,'Input - Admin &amp; Management'!$G$3:$G$50,"Human Resource Manager",'Input - Admin &amp; Management'!$H$3:$H$50,"M",'Input - Admin &amp; Management'!$I$3:$I$50,"TAS"),0)</f>
        <v>0</v>
      </c>
      <c r="Y71" s="15">
        <f>IFERROR(_xlfn.MAXIFS('Input - Admin &amp; Management'!$F$3:$F$50,'Input - Admin &amp; Management'!$G$3:$G$50,"Human Resource Manager",'Input - Admin &amp; Management'!$H$3:$H$50,"M",'Input - Admin &amp; Management'!$I$3:$I$50,"TAS"),0)</f>
        <v>0</v>
      </c>
      <c r="Z71" s="19">
        <f>COUNTIFS('Input - Admin &amp; Management'!$G$3:$G$50,"Human Resource Manager",'Input - Admin &amp; Management'!$H$3:$H$50,"M",'Input - Admin &amp; Management'!$I$3:$I$50,"NT")</f>
        <v>0</v>
      </c>
      <c r="AA71" s="20">
        <f>IFERROR(AVERAGEIFS('Input - Admin &amp; Management'!$F$3:$F$50,'Input - Admin &amp; Management'!$G$3:$G$50,"Human Resource Manager",'Input - Admin &amp; Management'!$H$3:$H$50,"M",'Input - Admin &amp; Management'!$I$3:$I$50,"NT"),0)</f>
        <v>0</v>
      </c>
      <c r="AB71" s="20">
        <f>IFERROR(_xlfn.MINIFS('Input - Admin &amp; Management'!$F$3:$F$50,'Input - Admin &amp; Management'!$G$3:$G$50,"Human Resource Manager",'Input - Admin &amp; Management'!$H$3:$H$50,"M",'Input - Admin &amp; Management'!$I$3:$I$50,"NT"),0)</f>
        <v>0</v>
      </c>
      <c r="AC71" s="21">
        <f>IFERROR(_xlfn.MAXIFS('Input - Admin &amp; Management'!$F$3:$F$50,'Input - Admin &amp; Management'!$G$3:$G$50,"Human Resource Manager",'Input - Admin &amp; Management'!$H$3:$H$50,"M",'Input - Admin &amp; Management'!$I$3:$I$50,"NT"),0)</f>
        <v>0</v>
      </c>
      <c r="AD71" s="10">
        <f>COUNTIFS('Input - Admin &amp; Management'!$G$3:$G$50,"Human Resource Manager",'Input - Admin &amp; Management'!$H$3:$H$50,"M",'Input - Admin &amp; Management'!$I$3:$I$50,"ACT")</f>
        <v>0</v>
      </c>
      <c r="AE71" s="12">
        <f>IFERROR(AVERAGEIFS('Input - Admin &amp; Management'!$F$3:$F$50,'Input - Admin &amp; Management'!$G$3:$G$50,"Human Resource Manager",'Input - Admin &amp; Management'!$H$3:$H$50,"M",'Input - Admin &amp; Management'!$I$3:$I$50,"ACT"),0)</f>
        <v>0</v>
      </c>
      <c r="AF71" s="12">
        <f>IFERROR(_xlfn.MINIFS('Input - Admin &amp; Management'!$F$3:$F$50,'Input - Admin &amp; Management'!$G$3:$G$50,"Human Resource Manager",'Input - Admin &amp; Management'!$H$3:$H$50,"M",'Input - Admin &amp; Management'!$I$3:$I$50,"ACT"),0)</f>
        <v>0</v>
      </c>
      <c r="AG71" s="15">
        <f>IFERROR(_xlfn.MAXIFS('Input - Admin &amp; Management'!$F$3:$F$50,'Input - Admin &amp; Management'!$G$3:$G$50,"Human Resource Manager",'Input - Admin &amp; Management'!$H$3:$H$50,"M",'Input - Admin &amp; Management'!$I$3:$I$50,"ACT"),0)</f>
        <v>0</v>
      </c>
    </row>
    <row r="72" spans="1:33" x14ac:dyDescent="0.35">
      <c r="A72" s="11" t="s">
        <v>116</v>
      </c>
      <c r="B72" s="19">
        <f>COUNTIFS('Input - Admin &amp; Management'!$G$3:$G$50,"Human Resource Manager",'Input - Admin &amp; Management'!$H$3:$H$50,"F",'Input - Admin &amp; Management'!$I$3:$I$50,"QLD")</f>
        <v>0</v>
      </c>
      <c r="C72" s="20">
        <f>IFERROR(AVERAGEIFS('Input - Admin &amp; Management'!$F$3:$F$50,'Input - Admin &amp; Management'!$G$3:$G$50,"Human Resource Manager",'Input - Admin &amp; Management'!$H$3:$H$50,"F",'Input - Admin &amp; Management'!$I$3:$I$50,"QLD"),0)</f>
        <v>0</v>
      </c>
      <c r="D72" s="20">
        <f>IFERROR(_xlfn.MINIFS('Input - Admin &amp; Management'!$F$3:$F$50,'Input - Admin &amp; Management'!$G$3:$G$50,"Human Resource Manager",'Input - Admin &amp; Management'!$H$3:$H$50,"F",'Input - Admin &amp; Management'!$I$3:$I$50,"QLD"),0)</f>
        <v>0</v>
      </c>
      <c r="E72" s="21">
        <f>IFERROR(_xlfn.MAXIFS('Input - Admin &amp; Management'!$F$3:$F$50,'Input - Admin &amp; Management'!$G$3:$G$50,"Human Resource Manager",'Input - Admin &amp; Management'!$H$3:$H$50,"F",'Input - Admin &amp; Management'!$I$3:$I$50,"QLD"),0)</f>
        <v>0</v>
      </c>
      <c r="F72" s="10">
        <f>COUNTIFS('Input - Admin &amp; Management'!$G$3:$G$50,"Human Resource Manager",'Input - Admin &amp; Management'!$H$3:$H$50,"F",'Input - Admin &amp; Management'!$I$3:$I$50,"NSW")</f>
        <v>0</v>
      </c>
      <c r="G72" s="12">
        <f>IFERROR(AVERAGEIFS('Input - Admin &amp; Management'!$F$3:$F$50,'Input - Admin &amp; Management'!$G$3:$G$50,"Human Resource Manager",'Input - Admin &amp; Management'!$H$3:$H$50,"F",'Input - Admin &amp; Management'!$I$3:$I$50,"NSW"),0)</f>
        <v>0</v>
      </c>
      <c r="H72" s="12">
        <f>IFERROR(_xlfn.MINIFS('Input - Admin &amp; Management'!$F$3:$F$50,'Input - Admin &amp; Management'!$G$3:$G$50,"Human Resource Manager",'Input - Admin &amp; Management'!$H$3:$H$50,"F",'Input - Admin &amp; Management'!$I$3:$I$50,"NSW"),0)</f>
        <v>0</v>
      </c>
      <c r="I72" s="15">
        <f>IFERROR(_xlfn.MAXIFS('Input - Admin &amp; Management'!$F$3:$F$50,'Input - Admin &amp; Management'!$G$3:$G$50,"Human Resource Manager",'Input - Admin &amp; Management'!$H$3:$H$50,"F",'Input - Admin &amp; Management'!$I$3:$I$50,"NSW"),0)</f>
        <v>0</v>
      </c>
      <c r="J72" s="19">
        <f>COUNTIFS('Input - Admin &amp; Management'!$G$3:$G$50,"Human Resource Manager",'Input - Admin &amp; Management'!$H$3:$H$50,"F",'Input - Admin &amp; Management'!$I$3:$I$50,"VIC")</f>
        <v>0</v>
      </c>
      <c r="K72" s="20">
        <f>IFERROR(AVERAGEIFS('Input - Admin &amp; Management'!$F$3:$F$50,'Input - Admin &amp; Management'!$G$3:$G$50,"Human Resource Manager",'Input - Admin &amp; Management'!$H$3:$H$50,"F",'Input - Admin &amp; Management'!$I$3:$I$50,"VIC"),0)</f>
        <v>0</v>
      </c>
      <c r="L72" s="20">
        <f>IFERROR(_xlfn.MINIFS('Input - Admin &amp; Management'!$F$3:$F$50,'Input - Admin &amp; Management'!$G$3:$G$50,"Human Resource Manager",'Input - Admin &amp; Management'!$H$3:$H$50,"F",'Input - Admin &amp; Management'!$I$3:$I$50,"VIC"),0)</f>
        <v>0</v>
      </c>
      <c r="M72" s="21">
        <f>IFERROR(_xlfn.MAXIFS('Input - Admin &amp; Management'!$F$3:$F$50,'Input - Admin &amp; Management'!$G$3:$G$50,"Human Resource Manager",'Input - Admin &amp; Management'!$H$3:$H$50,"F",'Input - Admin &amp; Management'!$I$3:$I$50,"VIC"),0)</f>
        <v>0</v>
      </c>
      <c r="N72" s="10">
        <f>COUNTIFS('Input - Admin &amp; Management'!$G$3:$G$50,"Human Resource Manager",'Input - Admin &amp; Management'!$H$3:$H$50,"F",'Input - Admin &amp; Management'!$I$3:$I$50,"SA")</f>
        <v>0</v>
      </c>
      <c r="O72" s="12">
        <f>IFERROR(AVERAGEIFS('Input - Admin &amp; Management'!$F$3:$F$50,'Input - Admin &amp; Management'!$G$3:$G$50,"Human Resource Manager",'Input - Admin &amp; Management'!$H$3:$H$50,"F",'Input - Admin &amp; Management'!$I$3:$I$50,"SA"),0)</f>
        <v>0</v>
      </c>
      <c r="P72" s="12">
        <f>IFERROR(_xlfn.MINIFS('Input - Admin &amp; Management'!$F$3:$F$50,'Input - Admin &amp; Management'!$G$3:$G$50,"Human Resource Manager",'Input - Admin &amp; Management'!$H$3:$H$50,"F",'Input - Admin &amp; Management'!$I$3:$I$50,"SA"),0)</f>
        <v>0</v>
      </c>
      <c r="Q72" s="15">
        <f>IFERROR(_xlfn.MAXIFS('Input - Admin &amp; Management'!$F$3:$F$50,'Input - Admin &amp; Management'!$G$3:$G$50,"Human Resource Manager",'Input - Admin &amp; Management'!$H$3:$H$50,"F",'Input - Admin &amp; Management'!$I$3:$I$50,"SA"),0)</f>
        <v>0</v>
      </c>
      <c r="R72" s="19">
        <f>COUNTIFS('Input - Admin &amp; Management'!$G$3:$G$50,"Human Resource Manager",'Input - Admin &amp; Management'!$H$3:$H$50,"F",'Input - Admin &amp; Management'!$I$3:$I$50,"WA")</f>
        <v>0</v>
      </c>
      <c r="S72" s="20">
        <f>IFERROR(AVERAGEIFS('Input - Admin &amp; Management'!$F$3:$F$50,'Input - Admin &amp; Management'!$G$3:$G$50,"Human Resource Manager",'Input - Admin &amp; Management'!$H$3:$H$50,"F",'Input - Admin &amp; Management'!$I$3:$I$50,"WA"),0)</f>
        <v>0</v>
      </c>
      <c r="T72" s="20">
        <f>IFERROR(_xlfn.MINIFS('Input - Admin &amp; Management'!$F$3:$F$50,'Input - Admin &amp; Management'!$G$3:$G$50,"Human Resource Manager",'Input - Admin &amp; Management'!$H$3:$H$50,"F",'Input - Admin &amp; Management'!$I$3:$I$50,"WA"),0)</f>
        <v>0</v>
      </c>
      <c r="U72" s="21">
        <f>IFERROR(_xlfn.MAXIFS('Input - Admin &amp; Management'!$F$3:$F$50,'Input - Admin &amp; Management'!$G$3:$G$50,"Human Resource Manager",'Input - Admin &amp; Management'!$H$3:$H$50,"F",'Input - Admin &amp; Management'!$I$3:$I$50,"WA"),0)</f>
        <v>0</v>
      </c>
      <c r="V72" s="10">
        <f>COUNTIFS('Input - Admin &amp; Management'!$G$3:$G$50,"Human Resource Manager",'Input - Admin &amp; Management'!$H$3:$H$50,"F",'Input - Admin &amp; Management'!$I$3:$I$50,"TAS")</f>
        <v>0</v>
      </c>
      <c r="W72" s="12">
        <f>IFERROR(AVERAGEIFS('Input - Admin &amp; Management'!$F$3:$F$50,'Input - Admin &amp; Management'!$G$3:$G$50,"Human Resource Manager",'Input - Admin &amp; Management'!$H$3:$H$50,"F",'Input - Admin &amp; Management'!$I$3:$I$50,"TAS"),0)</f>
        <v>0</v>
      </c>
      <c r="X72" s="12">
        <f>IFERROR(_xlfn.MINIFS('Input - Admin &amp; Management'!$F$3:$F$50,'Input - Admin &amp; Management'!$G$3:$G$50,"Human Resource Manager",'Input - Admin &amp; Management'!$H$3:$H$50,"F",'Input - Admin &amp; Management'!$I$3:$I$50,"TAS"),0)</f>
        <v>0</v>
      </c>
      <c r="Y72" s="15">
        <f>IFERROR(_xlfn.MAXIFS('Input - Admin &amp; Management'!$F$3:$F$50,'Input - Admin &amp; Management'!$G$3:$G$50,"Human Resource Manager",'Input - Admin &amp; Management'!$H$3:$H$50,"F",'Input - Admin &amp; Management'!$I$3:$I$50,"TAS"),0)</f>
        <v>0</v>
      </c>
      <c r="Z72" s="19">
        <f>COUNTIFS('Input - Admin &amp; Management'!$G$3:$G$50,"Human Resource Manager",'Input - Admin &amp; Management'!$H$3:$H$50,"F",'Input - Admin &amp; Management'!$I$3:$I$50,"NT")</f>
        <v>0</v>
      </c>
      <c r="AA72" s="20">
        <f>IFERROR(AVERAGEIFS('Input - Admin &amp; Management'!$F$3:$F$50,'Input - Admin &amp; Management'!$G$3:$G$50,"Human Resource Manager",'Input - Admin &amp; Management'!$H$3:$H$50,"F",'Input - Admin &amp; Management'!$I$3:$I$50,"NT"),0)</f>
        <v>0</v>
      </c>
      <c r="AB72" s="20">
        <f>IFERROR(_xlfn.MINIFS('Input - Admin &amp; Management'!$F$3:$F$50,'Input - Admin &amp; Management'!$G$3:$G$50,"Human Resource Manager",'Input - Admin &amp; Management'!$H$3:$H$50,"F",'Input - Admin &amp; Management'!$I$3:$I$50,"NT"),0)</f>
        <v>0</v>
      </c>
      <c r="AC72" s="21">
        <f>IFERROR(_xlfn.MAXIFS('Input - Admin &amp; Management'!$F$3:$F$50,'Input - Admin &amp; Management'!$G$3:$G$50,"Human Resource Manager",'Input - Admin &amp; Management'!$H$3:$H$50,"F",'Input - Admin &amp; Management'!$I$3:$I$50,"NT"),0)</f>
        <v>0</v>
      </c>
      <c r="AD72" s="10">
        <f>COUNTIFS('Input - Admin &amp; Management'!$G$3:$G$50,"Human Resource Manager",'Input - Admin &amp; Management'!$H$3:$H$50,"F",'Input - Admin &amp; Management'!$I$3:$I$50,"ACT")</f>
        <v>0</v>
      </c>
      <c r="AE72" s="12">
        <f>IFERROR(AVERAGEIFS('Input - Admin &amp; Management'!$F$3:$F$50,'Input - Admin &amp; Management'!$G$3:$G$50,"Human Resource Manager",'Input - Admin &amp; Management'!$H$3:$H$50,"F",'Input - Admin &amp; Management'!$I$3:$I$50,"ACT"),0)</f>
        <v>0</v>
      </c>
      <c r="AF72" s="12">
        <f>IFERROR(_xlfn.MINIFS('Input - Admin &amp; Management'!$F$3:$F$50,'Input - Admin &amp; Management'!$G$3:$G$50,"Human Resource Manager",'Input - Admin &amp; Management'!$H$3:$H$50,"F",'Input - Admin &amp; Management'!$I$3:$I$50,"ACT"),0)</f>
        <v>0</v>
      </c>
      <c r="AG72" s="15">
        <f>IFERROR(_xlfn.MAXIFS('Input - Admin &amp; Management'!$F$3:$F$50,'Input - Admin &amp; Management'!$G$3:$G$50,"Human Resource Manager",'Input - Admin &amp; Management'!$H$3:$H$50,"F",'Input - Admin &amp; Management'!$I$3:$I$50,"ACT"),0)</f>
        <v>0</v>
      </c>
    </row>
    <row r="73" spans="1:33" x14ac:dyDescent="0.35">
      <c r="A73" s="11" t="s">
        <v>117</v>
      </c>
      <c r="B73" s="19">
        <f>COUNTIFS('Input - Admin &amp; Management'!$G$3:$G$50,"Marketing Manager",'Input - Admin &amp; Management'!$H$3:$H$50,"M",'Input - Admin &amp; Management'!$I$3:$I$50,"QLD")</f>
        <v>0</v>
      </c>
      <c r="C73" s="20">
        <f>IFERROR(AVERAGEIFS('Input - Admin &amp; Management'!$F$3:$F$50,'Input - Admin &amp; Management'!$G$3:$G$50,"Marketing Manager",'Input - Admin &amp; Management'!$H$3:$H$50,"M",'Input - Admin &amp; Management'!$I$3:$I$50,"QLD"),0)</f>
        <v>0</v>
      </c>
      <c r="D73" s="20">
        <f>IFERROR(_xlfn.MINIFS('Input - Admin &amp; Management'!$F$3:$F$50,'Input - Admin &amp; Management'!$G$3:$G$50,"Marketing Manager",'Input - Admin &amp; Management'!$H$3:$H$50,"M",'Input - Admin &amp; Management'!$I$3:$I$50,"QLD"),0)</f>
        <v>0</v>
      </c>
      <c r="E73" s="21">
        <f>IFERROR(_xlfn.MAXIFS('Input - Admin &amp; Management'!$F$3:$F$50,'Input - Admin &amp; Management'!$G$3:$G$50,"Marketing Manager",'Input - Admin &amp; Management'!$H$3:$H$50,"M",'Input - Admin &amp; Management'!$I$3:$I$50,"QLD"),0)</f>
        <v>0</v>
      </c>
      <c r="F73" s="10">
        <f>COUNTIFS('Input - Admin &amp; Management'!$G$3:$G$50,"Marketing Manager",'Input - Admin &amp; Management'!$H$3:$H$50,"M",'Input - Admin &amp; Management'!$I$3:$I$50,"NSW")</f>
        <v>0</v>
      </c>
      <c r="G73" s="12">
        <f>IFERROR(AVERAGEIFS('Input - Admin &amp; Management'!$F$3:$F$50,'Input - Admin &amp; Management'!$G$3:$G$50,"Marketing Manager",'Input - Admin &amp; Management'!$H$3:$H$50,"M",'Input - Admin &amp; Management'!$I$3:$I$50,"NSW"),0)</f>
        <v>0</v>
      </c>
      <c r="H73" s="12">
        <f>IFERROR(_xlfn.MINIFS('Input - Admin &amp; Management'!$F$3:$F$50,'Input - Admin &amp; Management'!$G$3:$G$50,"Marketing Manager",'Input - Admin &amp; Management'!$H$3:$H$50,"M",'Input - Admin &amp; Management'!$I$3:$I$50,"NSW"),0)</f>
        <v>0</v>
      </c>
      <c r="I73" s="15">
        <f>IFERROR(_xlfn.MAXIFS('Input - Admin &amp; Management'!$F$3:$F$50,'Input - Admin &amp; Management'!$G$3:$G$50,"Marketing Manager",'Input - Admin &amp; Management'!$H$3:$H$50,"M",'Input - Admin &amp; Management'!$I$3:$I$50,"NSW"),0)</f>
        <v>0</v>
      </c>
      <c r="J73" s="19">
        <f>COUNTIFS('Input - Admin &amp; Management'!$G$3:$G$50,"Marketing Manager",'Input - Admin &amp; Management'!$H$3:$H$50,"M",'Input - Admin &amp; Management'!$I$3:$I$50,"VIC")</f>
        <v>0</v>
      </c>
      <c r="K73" s="20">
        <f>IFERROR(AVERAGEIFS('Input - Admin &amp; Management'!$F$3:$F$50,'Input - Admin &amp; Management'!$G$3:$G$50,"Marketing Manager",'Input - Admin &amp; Management'!$H$3:$H$50,"M",'Input - Admin &amp; Management'!$I$3:$I$50,"VIC"),0)</f>
        <v>0</v>
      </c>
      <c r="L73" s="20">
        <f>IFERROR(_xlfn.MINIFS('Input - Admin &amp; Management'!$F$3:$F$50,'Input - Admin &amp; Management'!$G$3:$G$50,"Marketing Manager",'Input - Admin &amp; Management'!$H$3:$H$50,"M",'Input - Admin &amp; Management'!$I$3:$I$50,"VIC"),0)</f>
        <v>0</v>
      </c>
      <c r="M73" s="21">
        <f>IFERROR(_xlfn.MAXIFS('Input - Admin &amp; Management'!$F$3:$F$50,'Input - Admin &amp; Management'!$G$3:$G$50,"Marketing Manager",'Input - Admin &amp; Management'!$H$3:$H$50,"M",'Input - Admin &amp; Management'!$I$3:$I$50,"VIC"),0)</f>
        <v>0</v>
      </c>
      <c r="N73" s="10">
        <f>COUNTIFS('Input - Admin &amp; Management'!$G$3:$G$50,"Marketing Manager",'Input - Admin &amp; Management'!$H$3:$H$50,"M",'Input - Admin &amp; Management'!$I$3:$I$50,"SA")</f>
        <v>0</v>
      </c>
      <c r="O73" s="12">
        <f>IFERROR(AVERAGEIFS('Input - Admin &amp; Management'!$F$3:$F$50,'Input - Admin &amp; Management'!$G$3:$G$50,"Marketing Manager",'Input - Admin &amp; Management'!$H$3:$H$50,"M",'Input - Admin &amp; Management'!$I$3:$I$50,"SA"),0)</f>
        <v>0</v>
      </c>
      <c r="P73" s="12">
        <f>IFERROR(_xlfn.MINIFS('Input - Admin &amp; Management'!$F$3:$F$50,'Input - Admin &amp; Management'!$G$3:$G$50,"Marketing Manager",'Input - Admin &amp; Management'!$H$3:$H$50,"M",'Input - Admin &amp; Management'!$I$3:$I$50,"SA"),0)</f>
        <v>0</v>
      </c>
      <c r="Q73" s="15">
        <f>IFERROR(_xlfn.MAXIFS('Input - Admin &amp; Management'!$F$3:$F$50,'Input - Admin &amp; Management'!$G$3:$G$50,"Marketing Manager",'Input - Admin &amp; Management'!$H$3:$H$50,"M",'Input - Admin &amp; Management'!$I$3:$I$50,"SA"),0)</f>
        <v>0</v>
      </c>
      <c r="R73" s="19">
        <f>COUNTIFS('Input - Admin &amp; Management'!$G$3:$G$50,"Marketing Manager",'Input - Admin &amp; Management'!$H$3:$H$50,"M",'Input - Admin &amp; Management'!$I$3:$I$50,"WA")</f>
        <v>0</v>
      </c>
      <c r="S73" s="20">
        <f>IFERROR(AVERAGEIFS('Input - Admin &amp; Management'!$F$3:$F$50,'Input - Admin &amp; Management'!$G$3:$G$50,"Marketing Manager",'Input - Admin &amp; Management'!$H$3:$H$50,"M",'Input - Admin &amp; Management'!$I$3:$I$50,"WA"),0)</f>
        <v>0</v>
      </c>
      <c r="T73" s="20">
        <f>IFERROR(_xlfn.MINIFS('Input - Admin &amp; Management'!$F$3:$F$50,'Input - Admin &amp; Management'!$G$3:$G$50,"Marketing Manager",'Input - Admin &amp; Management'!$H$3:$H$50,"M",'Input - Admin &amp; Management'!$I$3:$I$50,"WA"),0)</f>
        <v>0</v>
      </c>
      <c r="U73" s="21">
        <f>IFERROR(_xlfn.MAXIFS('Input - Admin &amp; Management'!$F$3:$F$50,'Input - Admin &amp; Management'!$G$3:$G$50,"Marketing Manager",'Input - Admin &amp; Management'!$H$3:$H$50,"M",'Input - Admin &amp; Management'!$I$3:$I$50,"WA"),0)</f>
        <v>0</v>
      </c>
      <c r="V73" s="10">
        <f>COUNTIFS('Input - Admin &amp; Management'!$G$3:$G$50,"Marketing Manager",'Input - Admin &amp; Management'!$H$3:$H$50,"M",'Input - Admin &amp; Management'!$I$3:$I$50,"TAS")</f>
        <v>0</v>
      </c>
      <c r="W73" s="12">
        <f>IFERROR(AVERAGEIFS('Input - Admin &amp; Management'!$F$3:$F$50,'Input - Admin &amp; Management'!$G$3:$G$50,"Marketing Manager",'Input - Admin &amp; Management'!$H$3:$H$50,"M",'Input - Admin &amp; Management'!$I$3:$I$50,"TAS"),0)</f>
        <v>0</v>
      </c>
      <c r="X73" s="12">
        <f>IFERROR(_xlfn.MINIFS('Input - Admin &amp; Management'!$F$3:$F$50,'Input - Admin &amp; Management'!$G$3:$G$50,"Marketing Manager",'Input - Admin &amp; Management'!$H$3:$H$50,"M",'Input - Admin &amp; Management'!$I$3:$I$50,"TAS"),0)</f>
        <v>0</v>
      </c>
      <c r="Y73" s="15">
        <f>IFERROR(_xlfn.MAXIFS('Input - Admin &amp; Management'!$F$3:$F$50,'Input - Admin &amp; Management'!$G$3:$G$50,"Marketing Manager",'Input - Admin &amp; Management'!$H$3:$H$50,"M",'Input - Admin &amp; Management'!$I$3:$I$50,"TAS"),0)</f>
        <v>0</v>
      </c>
      <c r="Z73" s="19">
        <f>COUNTIFS('Input - Admin &amp; Management'!$G$3:$G$50,"Marketing Manager",'Input - Admin &amp; Management'!$H$3:$H$50,"M",'Input - Admin &amp; Management'!$I$3:$I$50,"NT")</f>
        <v>0</v>
      </c>
      <c r="AA73" s="20">
        <f>IFERROR(AVERAGEIFS('Input - Admin &amp; Management'!$F$3:$F$50,'Input - Admin &amp; Management'!$G$3:$G$50,"Marketing Manager",'Input - Admin &amp; Management'!$H$3:$H$50,"M",'Input - Admin &amp; Management'!$I$3:$I$50,"NT"),0)</f>
        <v>0</v>
      </c>
      <c r="AB73" s="20">
        <f>IFERROR(_xlfn.MINIFS('Input - Admin &amp; Management'!$F$3:$F$50,'Input - Admin &amp; Management'!$G$3:$G$50,"Marketing Manager",'Input - Admin &amp; Management'!$H$3:$H$50,"M",'Input - Admin &amp; Management'!$I$3:$I$50,"NT"),0)</f>
        <v>0</v>
      </c>
      <c r="AC73" s="21">
        <f>IFERROR(_xlfn.MAXIFS('Input - Admin &amp; Management'!$F$3:$F$50,'Input - Admin &amp; Management'!$G$3:$G$50,"Marketing Manager",'Input - Admin &amp; Management'!$H$3:$H$50,"M",'Input - Admin &amp; Management'!$I$3:$I$50,"NT"),0)</f>
        <v>0</v>
      </c>
      <c r="AD73" s="10">
        <f>COUNTIFS('Input - Admin &amp; Management'!$G$3:$G$50,"Marketing Manager",'Input - Admin &amp; Management'!$H$3:$H$50,"M",'Input - Admin &amp; Management'!$I$3:$I$50,"ACT")</f>
        <v>0</v>
      </c>
      <c r="AE73" s="12">
        <f>IFERROR(AVERAGEIFS('Input - Admin &amp; Management'!$F$3:$F$50,'Input - Admin &amp; Management'!$G$3:$G$50,"Marketing Manager",'Input - Admin &amp; Management'!$H$3:$H$50,"M",'Input - Admin &amp; Management'!$I$3:$I$50,"ACT"),0)</f>
        <v>0</v>
      </c>
      <c r="AF73" s="12">
        <f>IFERROR(_xlfn.MINIFS('Input - Admin &amp; Management'!$F$3:$F$50,'Input - Admin &amp; Management'!$G$3:$G$50,"Marketing Manager",'Input - Admin &amp; Management'!$H$3:$H$50,"M",'Input - Admin &amp; Management'!$I$3:$I$50,"ACT"),0)</f>
        <v>0</v>
      </c>
      <c r="AG73" s="15">
        <f>IFERROR(_xlfn.MAXIFS('Input - Admin &amp; Management'!$F$3:$F$50,'Input - Admin &amp; Management'!$G$3:$G$50,"Marketing Manager",'Input - Admin &amp; Management'!$H$3:$H$50,"M",'Input - Admin &amp; Management'!$I$3:$I$50,"ACT"),0)</f>
        <v>0</v>
      </c>
    </row>
    <row r="74" spans="1:33" x14ac:dyDescent="0.35">
      <c r="A74" s="11" t="s">
        <v>118</v>
      </c>
      <c r="B74" s="19">
        <f>COUNTIFS('Input - Admin &amp; Management'!$G$3:$G$50,"Marketing Manager",'Input - Admin &amp; Management'!$H$3:$H$50,"F",'Input - Admin &amp; Management'!$I$3:$I$50,"QLD")</f>
        <v>0</v>
      </c>
      <c r="C74" s="20">
        <f>IFERROR(AVERAGEIFS('Input - Admin &amp; Management'!$F$3:$F$50,'Input - Admin &amp; Management'!$G$3:$G$50,"Marketing Manager",'Input - Admin &amp; Management'!$H$3:$H$50,"F",'Input - Admin &amp; Management'!$I$3:$I$50,"QLD"),0)</f>
        <v>0</v>
      </c>
      <c r="D74" s="20">
        <f>IFERROR(_xlfn.MINIFS('Input - Admin &amp; Management'!$F$3:$F$50,'Input - Admin &amp; Management'!$G$3:$G$50,"Marketing Manager",'Input - Admin &amp; Management'!$H$3:$H$50,"F",'Input - Admin &amp; Management'!$I$3:$I$50,"QLD"),0)</f>
        <v>0</v>
      </c>
      <c r="E74" s="21">
        <f>IFERROR(_xlfn.MAXIFS('Input - Admin &amp; Management'!$F$3:$F$50,'Input - Admin &amp; Management'!$G$3:$G$50,"Marketing Manager",'Input - Admin &amp; Management'!$H$3:$H$50,"F",'Input - Admin &amp; Management'!$I$3:$I$50,"QLD"),0)</f>
        <v>0</v>
      </c>
      <c r="F74" s="10">
        <f>COUNTIFS('Input - Admin &amp; Management'!$G$3:$G$50,"Marketing Manager",'Input - Admin &amp; Management'!$H$3:$H$50,"F",'Input - Admin &amp; Management'!$I$3:$I$50,"NSW")</f>
        <v>0</v>
      </c>
      <c r="G74" s="12">
        <f>IFERROR(AVERAGEIFS('Input - Admin &amp; Management'!$F$3:$F$50,'Input - Admin &amp; Management'!$G$3:$G$50,"Marketing Manager",'Input - Admin &amp; Management'!$H$3:$H$50,"F",'Input - Admin &amp; Management'!$I$3:$I$50,"NSW"),0)</f>
        <v>0</v>
      </c>
      <c r="H74" s="12">
        <f>IFERROR(_xlfn.MINIFS('Input - Admin &amp; Management'!$F$3:$F$50,'Input - Admin &amp; Management'!$G$3:$G$50,"Marketing Manager",'Input - Admin &amp; Management'!$H$3:$H$50,"F",'Input - Admin &amp; Management'!$I$3:$I$50,"NSW"),0)</f>
        <v>0</v>
      </c>
      <c r="I74" s="15">
        <f>IFERROR(_xlfn.MAXIFS('Input - Admin &amp; Management'!$F$3:$F$50,'Input - Admin &amp; Management'!$G$3:$G$50,"Marketing Manager",'Input - Admin &amp; Management'!$H$3:$H$50,"F",'Input - Admin &amp; Management'!$I$3:$I$50,"NSW"),0)</f>
        <v>0</v>
      </c>
      <c r="J74" s="19">
        <f>COUNTIFS('Input - Admin &amp; Management'!$G$3:$G$50,"Marketing Manager",'Input - Admin &amp; Management'!$H$3:$H$50,"F",'Input - Admin &amp; Management'!$I$3:$I$50,"VIC")</f>
        <v>0</v>
      </c>
      <c r="K74" s="20">
        <f>IFERROR(AVERAGEIFS('Input - Admin &amp; Management'!$F$3:$F$50,'Input - Admin &amp; Management'!$G$3:$G$50,"Marketing Manager",'Input - Admin &amp; Management'!$H$3:$H$50,"F",'Input - Admin &amp; Management'!$I$3:$I$50,"VIC"),0)</f>
        <v>0</v>
      </c>
      <c r="L74" s="20">
        <f>IFERROR(_xlfn.MINIFS('Input - Admin &amp; Management'!$F$3:$F$50,'Input - Admin &amp; Management'!$G$3:$G$50,"Marketing Manager",'Input - Admin &amp; Management'!$H$3:$H$50,"F",'Input - Admin &amp; Management'!$I$3:$I$50,"VIC"),0)</f>
        <v>0</v>
      </c>
      <c r="M74" s="21">
        <f>IFERROR(_xlfn.MAXIFS('Input - Admin &amp; Management'!$F$3:$F$50,'Input - Admin &amp; Management'!$G$3:$G$50,"Marketing Manager",'Input - Admin &amp; Management'!$H$3:$H$50,"F",'Input - Admin &amp; Management'!$I$3:$I$50,"VIC"),0)</f>
        <v>0</v>
      </c>
      <c r="N74" s="10">
        <f>COUNTIFS('Input - Admin &amp; Management'!$G$3:$G$50,"Marketing Manager",'Input - Admin &amp; Management'!$H$3:$H$50,"F",'Input - Admin &amp; Management'!$I$3:$I$50,"SA")</f>
        <v>0</v>
      </c>
      <c r="O74" s="12">
        <f>IFERROR(AVERAGEIFS('Input - Admin &amp; Management'!$F$3:$F$50,'Input - Admin &amp; Management'!$G$3:$G$50,"Marketing Manager",'Input - Admin &amp; Management'!$H$3:$H$50,"F",'Input - Admin &amp; Management'!$I$3:$I$50,"SA"),0)</f>
        <v>0</v>
      </c>
      <c r="P74" s="12">
        <f>IFERROR(_xlfn.MINIFS('Input - Admin &amp; Management'!$F$3:$F$50,'Input - Admin &amp; Management'!$G$3:$G$50,"Marketing Manager",'Input - Admin &amp; Management'!$H$3:$H$50,"F",'Input - Admin &amp; Management'!$I$3:$I$50,"SA"),0)</f>
        <v>0</v>
      </c>
      <c r="Q74" s="15">
        <f>IFERROR(_xlfn.MAXIFS('Input - Admin &amp; Management'!$F$3:$F$50,'Input - Admin &amp; Management'!$G$3:$G$50,"Marketing Manager",'Input - Admin &amp; Management'!$H$3:$H$50,"F",'Input - Admin &amp; Management'!$I$3:$I$50,"SA"),0)</f>
        <v>0</v>
      </c>
      <c r="R74" s="19">
        <f>COUNTIFS('Input - Admin &amp; Management'!$G$3:$G$50,"Marketing Manager",'Input - Admin &amp; Management'!$H$3:$H$50,"F",'Input - Admin &amp; Management'!$I$3:$I$50,"WA")</f>
        <v>0</v>
      </c>
      <c r="S74" s="20">
        <f>IFERROR(AVERAGEIFS('Input - Admin &amp; Management'!$F$3:$F$50,'Input - Admin &amp; Management'!$G$3:$G$50,"Marketing Manager",'Input - Admin &amp; Management'!$H$3:$H$50,"F",'Input - Admin &amp; Management'!$I$3:$I$50,"WA"),0)</f>
        <v>0</v>
      </c>
      <c r="T74" s="20">
        <f>IFERROR(_xlfn.MINIFS('Input - Admin &amp; Management'!$F$3:$F$50,'Input - Admin &amp; Management'!$G$3:$G$50,"Marketing Manager",'Input - Admin &amp; Management'!$H$3:$H$50,"F",'Input - Admin &amp; Management'!$I$3:$I$50,"WA"),0)</f>
        <v>0</v>
      </c>
      <c r="U74" s="21">
        <f>IFERROR(_xlfn.MAXIFS('Input - Admin &amp; Management'!$F$3:$F$50,'Input - Admin &amp; Management'!$G$3:$G$50,"Marketing Manager",'Input - Admin &amp; Management'!$H$3:$H$50,"F",'Input - Admin &amp; Management'!$I$3:$I$50,"WA"),0)</f>
        <v>0</v>
      </c>
      <c r="V74" s="10">
        <f>COUNTIFS('Input - Admin &amp; Management'!$G$3:$G$50,"Marketing Manager",'Input - Admin &amp; Management'!$H$3:$H$50,"F",'Input - Admin &amp; Management'!$I$3:$I$50,"TAS")</f>
        <v>0</v>
      </c>
      <c r="W74" s="12">
        <f>IFERROR(AVERAGEIFS('Input - Admin &amp; Management'!$F$3:$F$50,'Input - Admin &amp; Management'!$G$3:$G$50,"Marketing Manager",'Input - Admin &amp; Management'!$H$3:$H$50,"F",'Input - Admin &amp; Management'!$I$3:$I$50,"TAS"),0)</f>
        <v>0</v>
      </c>
      <c r="X74" s="12">
        <f>IFERROR(_xlfn.MINIFS('Input - Admin &amp; Management'!$F$3:$F$50,'Input - Admin &amp; Management'!$G$3:$G$50,"Marketing Manager",'Input - Admin &amp; Management'!$H$3:$H$50,"F",'Input - Admin &amp; Management'!$I$3:$I$50,"TAS"),0)</f>
        <v>0</v>
      </c>
      <c r="Y74" s="15">
        <f>IFERROR(_xlfn.MAXIFS('Input - Admin &amp; Management'!$F$3:$F$50,'Input - Admin &amp; Management'!$G$3:$G$50,"Marketing Manager",'Input - Admin &amp; Management'!$H$3:$H$50,"F",'Input - Admin &amp; Management'!$I$3:$I$50,"TAS"),0)</f>
        <v>0</v>
      </c>
      <c r="Z74" s="19">
        <f>COUNTIFS('Input - Admin &amp; Management'!$G$3:$G$50,"Marketing Manager",'Input - Admin &amp; Management'!$H$3:$H$50,"F",'Input - Admin &amp; Management'!$I$3:$I$50,"NT")</f>
        <v>0</v>
      </c>
      <c r="AA74" s="20">
        <f>IFERROR(AVERAGEIFS('Input - Admin &amp; Management'!$F$3:$F$50,'Input - Admin &amp; Management'!$G$3:$G$50,"Marketing Manager",'Input - Admin &amp; Management'!$H$3:$H$50,"F",'Input - Admin &amp; Management'!$I$3:$I$50,"NT"),0)</f>
        <v>0</v>
      </c>
      <c r="AB74" s="20">
        <f>IFERROR(_xlfn.MINIFS('Input - Admin &amp; Management'!$F$3:$F$50,'Input - Admin &amp; Management'!$G$3:$G$50,"Marketing Manager",'Input - Admin &amp; Management'!$H$3:$H$50,"F",'Input - Admin &amp; Management'!$I$3:$I$50,"NT"),0)</f>
        <v>0</v>
      </c>
      <c r="AC74" s="21">
        <f>IFERROR(_xlfn.MAXIFS('Input - Admin &amp; Management'!$F$3:$F$50,'Input - Admin &amp; Management'!$G$3:$G$50,"Marketing Manager",'Input - Admin &amp; Management'!$H$3:$H$50,"F",'Input - Admin &amp; Management'!$I$3:$I$50,"NT"),0)</f>
        <v>0</v>
      </c>
      <c r="AD74" s="10">
        <f>COUNTIFS('Input - Admin &amp; Management'!$G$3:$G$50,"Marketing Manager",'Input - Admin &amp; Management'!$H$3:$H$50,"F",'Input - Admin &amp; Management'!$I$3:$I$50,"ACT")</f>
        <v>0</v>
      </c>
      <c r="AE74" s="12">
        <f>IFERROR(AVERAGEIFS('Input - Admin &amp; Management'!$F$3:$F$50,'Input - Admin &amp; Management'!$G$3:$G$50,"Marketing Manager",'Input - Admin &amp; Management'!$H$3:$H$50,"F",'Input - Admin &amp; Management'!$I$3:$I$50,"ACT"),0)</f>
        <v>0</v>
      </c>
      <c r="AF74" s="12">
        <f>IFERROR(_xlfn.MINIFS('Input - Admin &amp; Management'!$F$3:$F$50,'Input - Admin &amp; Management'!$G$3:$G$50,"Marketing Manager",'Input - Admin &amp; Management'!$H$3:$H$50,"F",'Input - Admin &amp; Management'!$I$3:$I$50,"ACT"),0)</f>
        <v>0</v>
      </c>
      <c r="AG74" s="15">
        <f>IFERROR(_xlfn.MAXIFS('Input - Admin &amp; Management'!$F$3:$F$50,'Input - Admin &amp; Management'!$G$3:$G$50,"Marketing Manager",'Input - Admin &amp; Management'!$H$3:$H$50,"F",'Input - Admin &amp; Management'!$I$3:$I$50,"ACT"),0)</f>
        <v>0</v>
      </c>
    </row>
    <row r="75" spans="1:33" x14ac:dyDescent="0.35">
      <c r="A75" s="11" t="s">
        <v>119</v>
      </c>
      <c r="B75" s="19">
        <f>COUNTIFS('Input - Admin &amp; Management'!$G$3:$G$50,"Practice Manager",'Input - Admin &amp; Management'!$H$3:$H$50,"M",'Input - Admin &amp; Management'!$I$3:$I$50,"QLD")</f>
        <v>0</v>
      </c>
      <c r="C75" s="20">
        <f>IFERROR(AVERAGEIFS('Input - Admin &amp; Management'!$F$3:$F$50,'Input - Admin &amp; Management'!$G$3:$G$50,"Practice Manager",'Input - Admin &amp; Management'!$H$3:$H$50,"M",'Input - Admin &amp; Management'!$I$3:$I$50,"QLD"),0)</f>
        <v>0</v>
      </c>
      <c r="D75" s="20">
        <f>IFERROR(_xlfn.MINIFS('Input - Admin &amp; Management'!$F$3:$F$50,'Input - Admin &amp; Management'!$G$3:$G$50,"Practice Manager",'Input - Admin &amp; Management'!$H$3:$H$50,"M",'Input - Admin &amp; Management'!$I$3:$I$50,"QLD"),0)</f>
        <v>0</v>
      </c>
      <c r="E75" s="21">
        <f>IFERROR(_xlfn.MAXIFS('Input - Admin &amp; Management'!$F$3:$F$50,'Input - Admin &amp; Management'!$G$3:$G$50,"Practice Manager",'Input - Admin &amp; Management'!$H$3:$H$50,"M",'Input - Admin &amp; Management'!$I$3:$I$50,"QLD"),0)</f>
        <v>0</v>
      </c>
      <c r="F75" s="10">
        <f>COUNTIFS('Input - Admin &amp; Management'!$G$3:$G$50,"Practice Manager",'Input - Admin &amp; Management'!$H$3:$H$50,"M",'Input - Admin &amp; Management'!$I$3:$I$50,"NSW")</f>
        <v>0</v>
      </c>
      <c r="G75" s="12">
        <f>IFERROR(AVERAGEIFS('Input - Admin &amp; Management'!$F$3:$F$50,'Input - Admin &amp; Management'!$G$3:$G$50,"Practice Manager",'Input - Admin &amp; Management'!$H$3:$H$50,"M",'Input - Admin &amp; Management'!$I$3:$I$50,"NSW"),0)</f>
        <v>0</v>
      </c>
      <c r="H75" s="12">
        <f>IFERROR(_xlfn.MINIFS('Input - Admin &amp; Management'!$F$3:$F$50,'Input - Admin &amp; Management'!$G$3:$G$50,"Practice Manager",'Input - Admin &amp; Management'!$H$3:$H$50,"M",'Input - Admin &amp; Management'!$I$3:$I$50,"NSW"),0)</f>
        <v>0</v>
      </c>
      <c r="I75" s="15">
        <f>IFERROR(_xlfn.MAXIFS('Input - Admin &amp; Management'!$F$3:$F$50,'Input - Admin &amp; Management'!$G$3:$G$50,"Practice Manager",'Input - Admin &amp; Management'!$H$3:$H$50,"M",'Input - Admin &amp; Management'!$I$3:$I$50,"NSW"),0)</f>
        <v>0</v>
      </c>
      <c r="J75" s="19">
        <f>COUNTIFS('Input - Admin &amp; Management'!$G$3:$G$50,"Practice Manager",'Input - Admin &amp; Management'!$H$3:$H$50,"M",'Input - Admin &amp; Management'!$I$3:$I$50,"VIC")</f>
        <v>0</v>
      </c>
      <c r="K75" s="20">
        <f>IFERROR(AVERAGEIFS('Input - Admin &amp; Management'!$F$3:$F$50,'Input - Admin &amp; Management'!$G$3:$G$50,"Practice Manager",'Input - Admin &amp; Management'!$H$3:$H$50,"M",'Input - Admin &amp; Management'!$I$3:$I$50,"VIC"),0)</f>
        <v>0</v>
      </c>
      <c r="L75" s="20">
        <f>IFERROR(_xlfn.MINIFS('Input - Admin &amp; Management'!$F$3:$F$50,'Input - Admin &amp; Management'!$G$3:$G$50,"Practice Manager",'Input - Admin &amp; Management'!$H$3:$H$50,"M",'Input - Admin &amp; Management'!$I$3:$I$50,"VIC"),0)</f>
        <v>0</v>
      </c>
      <c r="M75" s="21">
        <f>IFERROR(_xlfn.MAXIFS('Input - Admin &amp; Management'!$F$3:$F$50,'Input - Admin &amp; Management'!$G$3:$G$50,"Practice Manager",'Input - Admin &amp; Management'!$H$3:$H$50,"M",'Input - Admin &amp; Management'!$I$3:$I$50,"VIC"),0)</f>
        <v>0</v>
      </c>
      <c r="N75" s="10">
        <f>COUNTIFS('Input - Admin &amp; Management'!$G$3:$G$50,"Practice Manager",'Input - Admin &amp; Management'!$H$3:$H$50,"M",'Input - Admin &amp; Management'!$I$3:$I$50,"SA")</f>
        <v>0</v>
      </c>
      <c r="O75" s="12">
        <f>IFERROR(AVERAGEIFS('Input - Admin &amp; Management'!$F$3:$F$50,'Input - Admin &amp; Management'!$G$3:$G$50,"Practice Manager",'Input - Admin &amp; Management'!$H$3:$H$50,"M",'Input - Admin &amp; Management'!$I$3:$I$50,"SA"),0)</f>
        <v>0</v>
      </c>
      <c r="P75" s="12">
        <f>IFERROR(_xlfn.MINIFS('Input - Admin &amp; Management'!$F$3:$F$50,'Input - Admin &amp; Management'!$G$3:$G$50,"Practice Manager",'Input - Admin &amp; Management'!$H$3:$H$50,"M",'Input - Admin &amp; Management'!$I$3:$I$50,"SA"),0)</f>
        <v>0</v>
      </c>
      <c r="Q75" s="15">
        <f>IFERROR(_xlfn.MAXIFS('Input - Admin &amp; Management'!$F$3:$F$50,'Input - Admin &amp; Management'!$G$3:$G$50,"Practice Manager",'Input - Admin &amp; Management'!$H$3:$H$50,"M",'Input - Admin &amp; Management'!$I$3:$I$50,"SA"),0)</f>
        <v>0</v>
      </c>
      <c r="R75" s="19">
        <f>COUNTIFS('Input - Admin &amp; Management'!$G$3:$G$50,"Practice Manager",'Input - Admin &amp; Management'!$H$3:$H$50,"M",'Input - Admin &amp; Management'!$I$3:$I$50,"WA")</f>
        <v>0</v>
      </c>
      <c r="S75" s="20">
        <f>IFERROR(AVERAGEIFS('Input - Admin &amp; Management'!$F$3:$F$50,'Input - Admin &amp; Management'!$G$3:$G$50,"Practice Manager",'Input - Admin &amp; Management'!$H$3:$H$50,"M",'Input - Admin &amp; Management'!$I$3:$I$50,"WA"),0)</f>
        <v>0</v>
      </c>
      <c r="T75" s="20">
        <f>IFERROR(_xlfn.MINIFS('Input - Admin &amp; Management'!$F$3:$F$50,'Input - Admin &amp; Management'!$G$3:$G$50,"Practice Manager",'Input - Admin &amp; Management'!$H$3:$H$50,"M",'Input - Admin &amp; Management'!$I$3:$I$50,"WA"),0)</f>
        <v>0</v>
      </c>
      <c r="U75" s="21">
        <f>IFERROR(_xlfn.MAXIFS('Input - Admin &amp; Management'!$F$3:$F$50,'Input - Admin &amp; Management'!$G$3:$G$50,"Practice Manager",'Input - Admin &amp; Management'!$H$3:$H$50,"M",'Input - Admin &amp; Management'!$I$3:$I$50,"WA"),0)</f>
        <v>0</v>
      </c>
      <c r="V75" s="10">
        <f>COUNTIFS('Input - Admin &amp; Management'!$G$3:$G$50,"Practice Manager",'Input - Admin &amp; Management'!$H$3:$H$50,"M",'Input - Admin &amp; Management'!$I$3:$I$50,"TAS")</f>
        <v>0</v>
      </c>
      <c r="W75" s="12">
        <f>IFERROR(AVERAGEIFS('Input - Admin &amp; Management'!$F$3:$F$50,'Input - Admin &amp; Management'!$G$3:$G$50,"Practice Manager",'Input - Admin &amp; Management'!$H$3:$H$50,"M",'Input - Admin &amp; Management'!$I$3:$I$50,"TAS"),0)</f>
        <v>0</v>
      </c>
      <c r="X75" s="12">
        <f>IFERROR(_xlfn.MINIFS('Input - Admin &amp; Management'!$F$3:$F$50,'Input - Admin &amp; Management'!$G$3:$G$50,"Practice Manager",'Input - Admin &amp; Management'!$H$3:$H$50,"M",'Input - Admin &amp; Management'!$I$3:$I$50,"TAS"),0)</f>
        <v>0</v>
      </c>
      <c r="Y75" s="15">
        <f>IFERROR(_xlfn.MAXIFS('Input - Admin &amp; Management'!$F$3:$F$50,'Input - Admin &amp; Management'!$G$3:$G$50,"Practice Manager",'Input - Admin &amp; Management'!$H$3:$H$50,"M",'Input - Admin &amp; Management'!$I$3:$I$50,"TAS"),0)</f>
        <v>0</v>
      </c>
      <c r="Z75" s="19">
        <f>COUNTIFS('Input - Admin &amp; Management'!$G$3:$G$50,"Practice Manager",'Input - Admin &amp; Management'!$H$3:$H$50,"M",'Input - Admin &amp; Management'!$I$3:$I$50,"NT")</f>
        <v>0</v>
      </c>
      <c r="AA75" s="20">
        <f>IFERROR(AVERAGEIFS('Input - Admin &amp; Management'!$F$3:$F$50,'Input - Admin &amp; Management'!$G$3:$G$50,"Practice Manager",'Input - Admin &amp; Management'!$H$3:$H$50,"M",'Input - Admin &amp; Management'!$I$3:$I$50,"NT"),0)</f>
        <v>0</v>
      </c>
      <c r="AB75" s="20">
        <f>IFERROR(_xlfn.MINIFS('Input - Admin &amp; Management'!$F$3:$F$50,'Input - Admin &amp; Management'!$G$3:$G$50,"Practice Manager",'Input - Admin &amp; Management'!$H$3:$H$50,"M",'Input - Admin &amp; Management'!$I$3:$I$50,"NT"),0)</f>
        <v>0</v>
      </c>
      <c r="AC75" s="21">
        <f>IFERROR(_xlfn.MAXIFS('Input - Admin &amp; Management'!$F$3:$F$50,'Input - Admin &amp; Management'!$G$3:$G$50,"Practice Manager",'Input - Admin &amp; Management'!$H$3:$H$50,"M",'Input - Admin &amp; Management'!$I$3:$I$50,"NT"),0)</f>
        <v>0</v>
      </c>
      <c r="AD75" s="10">
        <f>COUNTIFS('Input - Admin &amp; Management'!$G$3:$G$50,"Practice Manager",'Input - Admin &amp; Management'!$H$3:$H$50,"M",'Input - Admin &amp; Management'!$I$3:$I$50,"ACT")</f>
        <v>0</v>
      </c>
      <c r="AE75" s="12">
        <f>IFERROR(AVERAGEIFS('Input - Admin &amp; Management'!$F$3:$F$50,'Input - Admin &amp; Management'!$G$3:$G$50,"Practice Manager",'Input - Admin &amp; Management'!$H$3:$H$50,"M",'Input - Admin &amp; Management'!$I$3:$I$50,"ACT"),0)</f>
        <v>0</v>
      </c>
      <c r="AF75" s="12">
        <f>IFERROR(_xlfn.MINIFS('Input - Admin &amp; Management'!$F$3:$F$50,'Input - Admin &amp; Management'!$G$3:$G$50,"Practice Manager",'Input - Admin &amp; Management'!$H$3:$H$50,"M",'Input - Admin &amp; Management'!$I$3:$I$50,"ACT"),0)</f>
        <v>0</v>
      </c>
      <c r="AG75" s="15">
        <f>IFERROR(_xlfn.MAXIFS('Input - Admin &amp; Management'!$F$3:$F$50,'Input - Admin &amp; Management'!$G$3:$G$50,"Practice Manager",'Input - Admin &amp; Management'!$H$3:$H$50,"M",'Input - Admin &amp; Management'!$I$3:$I$50,"ACT"),0)</f>
        <v>0</v>
      </c>
    </row>
    <row r="76" spans="1:33" x14ac:dyDescent="0.35">
      <c r="A76" s="11" t="s">
        <v>120</v>
      </c>
      <c r="B76" s="19">
        <f>COUNTIFS('Input - Admin &amp; Management'!$G$3:$G$50,"Practice Manager",'Input - Admin &amp; Management'!$H$3:$H$50,"F",'Input - Admin &amp; Management'!$I$3:$I$50,"QLD")</f>
        <v>0</v>
      </c>
      <c r="C76" s="20">
        <f>IFERROR(AVERAGEIFS('Input - Admin &amp; Management'!$F$3:$F$50,'Input - Admin &amp; Management'!$G$3:$G$50,"Practice Manager",'Input - Admin &amp; Management'!$H$3:$H$50,"F",'Input - Admin &amp; Management'!$I$3:$I$50,"QLD"),0)</f>
        <v>0</v>
      </c>
      <c r="D76" s="20">
        <f>IFERROR(_xlfn.MINIFS('Input - Admin &amp; Management'!$F$3:$F$50,'Input - Admin &amp; Management'!$G$3:$G$50,"Practice Manager",'Input - Admin &amp; Management'!$H$3:$H$50,"F",'Input - Admin &amp; Management'!$I$3:$I$50,"QLD"),0)</f>
        <v>0</v>
      </c>
      <c r="E76" s="21">
        <f>IFERROR(_xlfn.MAXIFS('Input - Admin &amp; Management'!$F$3:$F$50,'Input - Admin &amp; Management'!$G$3:$G$50,"Practice Manager",'Input - Admin &amp; Management'!$H$3:$H$50,"F",'Input - Admin &amp; Management'!$I$3:$I$50,"QLD"),0)</f>
        <v>0</v>
      </c>
      <c r="F76" s="10">
        <f>COUNTIFS('Input - Admin &amp; Management'!$G$3:$G$50,"Practice Manager",'Input - Admin &amp; Management'!$H$3:$H$50,"F",'Input - Admin &amp; Management'!$I$3:$I$50,"NSW")</f>
        <v>0</v>
      </c>
      <c r="G76" s="12">
        <f>IFERROR(AVERAGEIFS('Input - Admin &amp; Management'!$F$3:$F$50,'Input - Admin &amp; Management'!$G$3:$G$50,"Practice Manager",'Input - Admin &amp; Management'!$H$3:$H$50,"F",'Input - Admin &amp; Management'!$I$3:$I$50,"NSW"),0)</f>
        <v>0</v>
      </c>
      <c r="H76" s="12">
        <f>IFERROR(_xlfn.MINIFS('Input - Admin &amp; Management'!$F$3:$F$50,'Input - Admin &amp; Management'!$G$3:$G$50,"Practice Manager",'Input - Admin &amp; Management'!$H$3:$H$50,"F",'Input - Admin &amp; Management'!$I$3:$I$50,"NSW"),0)</f>
        <v>0</v>
      </c>
      <c r="I76" s="15">
        <f>IFERROR(_xlfn.MAXIFS('Input - Admin &amp; Management'!$F$3:$F$50,'Input - Admin &amp; Management'!$G$3:$G$50,"Practice Manager",'Input - Admin &amp; Management'!$H$3:$H$50,"F",'Input - Admin &amp; Management'!$I$3:$I$50,"NSW"),0)</f>
        <v>0</v>
      </c>
      <c r="J76" s="19">
        <f>COUNTIFS('Input - Admin &amp; Management'!$G$3:$G$50,"Practice Manager",'Input - Admin &amp; Management'!$H$3:$H$50,"F",'Input - Admin &amp; Management'!$I$3:$I$50,"VIC")</f>
        <v>0</v>
      </c>
      <c r="K76" s="20">
        <f>IFERROR(AVERAGEIFS('Input - Admin &amp; Management'!$F$3:$F$50,'Input - Admin &amp; Management'!$G$3:$G$50,"Practice Manager",'Input - Admin &amp; Management'!$H$3:$H$50,"F",'Input - Admin &amp; Management'!$I$3:$I$50,"VIC"),0)</f>
        <v>0</v>
      </c>
      <c r="L76" s="20">
        <f>IFERROR(_xlfn.MINIFS('Input - Admin &amp; Management'!$F$3:$F$50,'Input - Admin &amp; Management'!$G$3:$G$50,"Practice Manager",'Input - Admin &amp; Management'!$H$3:$H$50,"F",'Input - Admin &amp; Management'!$I$3:$I$50,"VIC"),0)</f>
        <v>0</v>
      </c>
      <c r="M76" s="21">
        <f>IFERROR(_xlfn.MAXIFS('Input - Admin &amp; Management'!$F$3:$F$50,'Input - Admin &amp; Management'!$G$3:$G$50,"Practice Manager",'Input - Admin &amp; Management'!$H$3:$H$50,"F",'Input - Admin &amp; Management'!$I$3:$I$50,"VIC"),0)</f>
        <v>0</v>
      </c>
      <c r="N76" s="10">
        <f>COUNTIFS('Input - Admin &amp; Management'!$G$3:$G$50,"Practice Manager",'Input - Admin &amp; Management'!$H$3:$H$50,"F",'Input - Admin &amp; Management'!$I$3:$I$50,"SA")</f>
        <v>0</v>
      </c>
      <c r="O76" s="12">
        <f>IFERROR(AVERAGEIFS('Input - Admin &amp; Management'!$F$3:$F$50,'Input - Admin &amp; Management'!$G$3:$G$50,"Practice Manager",'Input - Admin &amp; Management'!$H$3:$H$50,"F",'Input - Admin &amp; Management'!$I$3:$I$50,"SA"),0)</f>
        <v>0</v>
      </c>
      <c r="P76" s="12">
        <f>IFERROR(_xlfn.MINIFS('Input - Admin &amp; Management'!$F$3:$F$50,'Input - Admin &amp; Management'!$G$3:$G$50,"Practice Manager",'Input - Admin &amp; Management'!$H$3:$H$50,"F",'Input - Admin &amp; Management'!$I$3:$I$50,"SA"),0)</f>
        <v>0</v>
      </c>
      <c r="Q76" s="15">
        <f>IFERROR(_xlfn.MAXIFS('Input - Admin &amp; Management'!$F$3:$F$50,'Input - Admin &amp; Management'!$G$3:$G$50,"Practice Manager",'Input - Admin &amp; Management'!$H$3:$H$50,"F",'Input - Admin &amp; Management'!$I$3:$I$50,"SA"),0)</f>
        <v>0</v>
      </c>
      <c r="R76" s="19">
        <f>COUNTIFS('Input - Admin &amp; Management'!$G$3:$G$50,"Practice Manager",'Input - Admin &amp; Management'!$H$3:$H$50,"F",'Input - Admin &amp; Management'!$I$3:$I$50,"WA")</f>
        <v>0</v>
      </c>
      <c r="S76" s="20">
        <f>IFERROR(AVERAGEIFS('Input - Admin &amp; Management'!$F$3:$F$50,'Input - Admin &amp; Management'!$G$3:$G$50,"Practice Manager",'Input - Admin &amp; Management'!$H$3:$H$50,"F",'Input - Admin &amp; Management'!$I$3:$I$50,"WA"),0)</f>
        <v>0</v>
      </c>
      <c r="T76" s="20">
        <f>IFERROR(_xlfn.MINIFS('Input - Admin &amp; Management'!$F$3:$F$50,'Input - Admin &amp; Management'!$G$3:$G$50,"Practice Manager",'Input - Admin &amp; Management'!$H$3:$H$50,"F",'Input - Admin &amp; Management'!$I$3:$I$50,"WA"),0)</f>
        <v>0</v>
      </c>
      <c r="U76" s="21">
        <f>IFERROR(_xlfn.MAXIFS('Input - Admin &amp; Management'!$F$3:$F$50,'Input - Admin &amp; Management'!$G$3:$G$50,"Practice Manager",'Input - Admin &amp; Management'!$H$3:$H$50,"F",'Input - Admin &amp; Management'!$I$3:$I$50,"WA"),0)</f>
        <v>0</v>
      </c>
      <c r="V76" s="10">
        <f>COUNTIFS('Input - Admin &amp; Management'!$G$3:$G$50,"Practice Manager",'Input - Admin &amp; Management'!$H$3:$H$50,"F",'Input - Admin &amp; Management'!$I$3:$I$50,"TAS")</f>
        <v>0</v>
      </c>
      <c r="W76" s="12">
        <f>IFERROR(AVERAGEIFS('Input - Admin &amp; Management'!$F$3:$F$50,'Input - Admin &amp; Management'!$G$3:$G$50,"Practice Manager",'Input - Admin &amp; Management'!$H$3:$H$50,"F",'Input - Admin &amp; Management'!$I$3:$I$50,"TAS"),0)</f>
        <v>0</v>
      </c>
      <c r="X76" s="12">
        <f>IFERROR(_xlfn.MINIFS('Input - Admin &amp; Management'!$F$3:$F$50,'Input - Admin &amp; Management'!$G$3:$G$50,"Practice Manager",'Input - Admin &amp; Management'!$H$3:$H$50,"F",'Input - Admin &amp; Management'!$I$3:$I$50,"TAS"),0)</f>
        <v>0</v>
      </c>
      <c r="Y76" s="15">
        <f>IFERROR(_xlfn.MAXIFS('Input - Admin &amp; Management'!$F$3:$F$50,'Input - Admin &amp; Management'!$G$3:$G$50,"Practice Manager",'Input - Admin &amp; Management'!$H$3:$H$50,"F",'Input - Admin &amp; Management'!$I$3:$I$50,"TAS"),0)</f>
        <v>0</v>
      </c>
      <c r="Z76" s="19">
        <f>COUNTIFS('Input - Admin &amp; Management'!$G$3:$G$50,"Practice Manager",'Input - Admin &amp; Management'!$H$3:$H$50,"F",'Input - Admin &amp; Management'!$I$3:$I$50,"NT")</f>
        <v>0</v>
      </c>
      <c r="AA76" s="20">
        <f>IFERROR(AVERAGEIFS('Input - Admin &amp; Management'!$F$3:$F$50,'Input - Admin &amp; Management'!$G$3:$G$50,"Practice Manager",'Input - Admin &amp; Management'!$H$3:$H$50,"F",'Input - Admin &amp; Management'!$I$3:$I$50,"NT"),0)</f>
        <v>0</v>
      </c>
      <c r="AB76" s="20">
        <f>IFERROR(_xlfn.MINIFS('Input - Admin &amp; Management'!$F$3:$F$50,'Input - Admin &amp; Management'!$G$3:$G$50,"Practice Manager",'Input - Admin &amp; Management'!$H$3:$H$50,"F",'Input - Admin &amp; Management'!$I$3:$I$50,"NT"),0)</f>
        <v>0</v>
      </c>
      <c r="AC76" s="21">
        <f>IFERROR(_xlfn.MAXIFS('Input - Admin &amp; Management'!$F$3:$F$50,'Input - Admin &amp; Management'!$G$3:$G$50,"Practice Manager",'Input - Admin &amp; Management'!$H$3:$H$50,"F",'Input - Admin &amp; Management'!$I$3:$I$50,"NT"),0)</f>
        <v>0</v>
      </c>
      <c r="AD76" s="10">
        <f>COUNTIFS('Input - Admin &amp; Management'!$G$3:$G$50,"Practice Manager",'Input - Admin &amp; Management'!$H$3:$H$50,"F",'Input - Admin &amp; Management'!$I$3:$I$50,"ACT")</f>
        <v>0</v>
      </c>
      <c r="AE76" s="12">
        <f>IFERROR(AVERAGEIFS('Input - Admin &amp; Management'!$F$3:$F$50,'Input - Admin &amp; Management'!$G$3:$G$50,"Practice Manager",'Input - Admin &amp; Management'!$H$3:$H$50,"F",'Input - Admin &amp; Management'!$I$3:$I$50,"ACT"),0)</f>
        <v>0</v>
      </c>
      <c r="AF76" s="12">
        <f>IFERROR(_xlfn.MINIFS('Input - Admin &amp; Management'!$F$3:$F$50,'Input - Admin &amp; Management'!$G$3:$G$50,"Practice Manager",'Input - Admin &amp; Management'!$H$3:$H$50,"F",'Input - Admin &amp; Management'!$I$3:$I$50,"ACT"),0)</f>
        <v>0</v>
      </c>
      <c r="AG76" s="15">
        <f>IFERROR(_xlfn.MAXIFS('Input - Admin &amp; Management'!$F$3:$F$50,'Input - Admin &amp; Management'!$G$3:$G$50,"Practice Manager",'Input - Admin &amp; Management'!$H$3:$H$50,"F",'Input - Admin &amp; Management'!$I$3:$I$50,"ACT"),0)</f>
        <v>0</v>
      </c>
    </row>
    <row r="77" spans="1:33" x14ac:dyDescent="0.35">
      <c r="A77" s="11" t="s">
        <v>121</v>
      </c>
      <c r="B77" s="19">
        <f>COUNTIFS('Input - Admin &amp; Management'!$G$3:$G$50,"Chief Operating Officer/General Manager",'Input - Admin &amp; Management'!$H$3:$H$50,"M",'Input - Admin &amp; Management'!$I$3:$I$50,"QLD")</f>
        <v>0</v>
      </c>
      <c r="C77" s="20">
        <f>IFERROR(AVERAGEIFS('Input - Admin &amp; Management'!$F$3:$F$50,'Input - Admin &amp; Management'!$G$3:$G$50,"Chief Operating Officer/General Manager",'Input - Admin &amp; Management'!$H$3:$H$50,"M",'Input - Admin &amp; Management'!$I$3:$I$50,"QLD"),0)</f>
        <v>0</v>
      </c>
      <c r="D77" s="20">
        <f>IFERROR(_xlfn.MINIFS('Input - Admin &amp; Management'!$F$3:$F$50,'Input - Admin &amp; Management'!$G$3:$G$50,"Chief Operating Officer/General Manager",'Input - Admin &amp; Management'!$H$3:$H$50,"M",'Input - Admin &amp; Management'!$I$3:$I$50,"QLD"),0)</f>
        <v>0</v>
      </c>
      <c r="E77" s="21">
        <f>IFERROR(_xlfn.MAXIFS('Input - Admin &amp; Management'!$F$3:$F$50,'Input - Admin &amp; Management'!$G$3:$G$50,"Chief Operating Officer/General Manager",'Input - Admin &amp; Management'!$H$3:$H$50,"M",'Input - Admin &amp; Management'!$I$3:$I$50,"QLD"),0)</f>
        <v>0</v>
      </c>
      <c r="F77" s="10">
        <f>COUNTIFS('Input - Admin &amp; Management'!$G$3:$G$50,"Chief Operating Officer/General Manager",'Input - Admin &amp; Management'!$H$3:$H$50,"M",'Input - Admin &amp; Management'!$I$3:$I$50,"NSW")</f>
        <v>0</v>
      </c>
      <c r="G77" s="12">
        <f>IFERROR(AVERAGEIFS('Input - Admin &amp; Management'!$F$3:$F$50,'Input - Admin &amp; Management'!$G$3:$G$50,"Chief Operating Officer/General Manager",'Input - Admin &amp; Management'!$H$3:$H$50,"M",'Input - Admin &amp; Management'!$I$3:$I$50,"NSW"),0)</f>
        <v>0</v>
      </c>
      <c r="H77" s="12">
        <f>IFERROR(_xlfn.MINIFS('Input - Admin &amp; Management'!$F$3:$F$50,'Input - Admin &amp; Management'!$G$3:$G$50,"Chief Operating Officer/General Manager",'Input - Admin &amp; Management'!$H$3:$H$50,"M",'Input - Admin &amp; Management'!$I$3:$I$50,"NSW"),0)</f>
        <v>0</v>
      </c>
      <c r="I77" s="15">
        <f>IFERROR(_xlfn.MAXIFS('Input - Admin &amp; Management'!$F$3:$F$50,'Input - Admin &amp; Management'!$G$3:$G$50,"Chief Operating Officer/General Manager",'Input - Admin &amp; Management'!$H$3:$H$50,"M",'Input - Admin &amp; Management'!$I$3:$I$50,"NSW"),0)</f>
        <v>0</v>
      </c>
      <c r="J77" s="19">
        <f>COUNTIFS('Input - Admin &amp; Management'!$G$3:$G$50,"Chief Operating Officer/General Manager",'Input - Admin &amp; Management'!$H$3:$H$50,"M",'Input - Admin &amp; Management'!$I$3:$I$50,"VIC")</f>
        <v>0</v>
      </c>
      <c r="K77" s="20">
        <f>IFERROR(AVERAGEIFS('Input - Admin &amp; Management'!$F$3:$F$50,'Input - Admin &amp; Management'!$G$3:$G$50,"Chief Operating Officer/General Manager",'Input - Admin &amp; Management'!$H$3:$H$50,"M",'Input - Admin &amp; Management'!$I$3:$I$50,"VIC"),0)</f>
        <v>0</v>
      </c>
      <c r="L77" s="20">
        <f>IFERROR(_xlfn.MINIFS('Input - Admin &amp; Management'!$F$3:$F$50,'Input - Admin &amp; Management'!$G$3:$G$50,"Chief Operating Officer/General Manager",'Input - Admin &amp; Management'!$H$3:$H$50,"M",'Input - Admin &amp; Management'!$I$3:$I$50,"VIC"),0)</f>
        <v>0</v>
      </c>
      <c r="M77" s="21">
        <f>IFERROR(_xlfn.MAXIFS('Input - Admin &amp; Management'!$F$3:$F$50,'Input - Admin &amp; Management'!$G$3:$G$50,"Chief Operating Officer/General Manager",'Input - Admin &amp; Management'!$H$3:$H$50,"M",'Input - Admin &amp; Management'!$I$3:$I$50,"VIC"),0)</f>
        <v>0</v>
      </c>
      <c r="N77" s="10">
        <f>COUNTIFS('Input - Admin &amp; Management'!$G$3:$G$50,"Chief Operating Officer/General Manager",'Input - Admin &amp; Management'!$H$3:$H$50,"M",'Input - Admin &amp; Management'!$I$3:$I$50,"SA")</f>
        <v>0</v>
      </c>
      <c r="O77" s="12">
        <f>IFERROR(AVERAGEIFS('Input - Admin &amp; Management'!$F$3:$F$50,'Input - Admin &amp; Management'!$G$3:$G$50,"Chief Operating Officer/General Manager",'Input - Admin &amp; Management'!$H$3:$H$50,"M",'Input - Admin &amp; Management'!$I$3:$I$50,"SA"),0)</f>
        <v>0</v>
      </c>
      <c r="P77" s="12">
        <f>IFERROR(_xlfn.MINIFS('Input - Admin &amp; Management'!$F$3:$F$50,'Input - Admin &amp; Management'!$G$3:$G$50,"Chief Operating Officer/General Manager",'Input - Admin &amp; Management'!$H$3:$H$50,"M",'Input - Admin &amp; Management'!$I$3:$I$50,"SA"),0)</f>
        <v>0</v>
      </c>
      <c r="Q77" s="15">
        <f>IFERROR(_xlfn.MAXIFS('Input - Admin &amp; Management'!$F$3:$F$50,'Input - Admin &amp; Management'!$G$3:$G$50,"Chief Operating Officer/General Manager",'Input - Admin &amp; Management'!$H$3:$H$50,"M",'Input - Admin &amp; Management'!$I$3:$I$50,"SA"),0)</f>
        <v>0</v>
      </c>
      <c r="R77" s="19">
        <f>COUNTIFS('Input - Admin &amp; Management'!$G$3:$G$50,"Chief Operating Officer/General Manager",'Input - Admin &amp; Management'!$H$3:$H$50,"M",'Input - Admin &amp; Management'!$I$3:$I$50,"WA")</f>
        <v>0</v>
      </c>
      <c r="S77" s="20">
        <f>IFERROR(AVERAGEIFS('Input - Admin &amp; Management'!$F$3:$F$50,'Input - Admin &amp; Management'!$G$3:$G$50,"Chief Operating Officer/General Manager",'Input - Admin &amp; Management'!$H$3:$H$50,"M",'Input - Admin &amp; Management'!$I$3:$I$50,"WA"),0)</f>
        <v>0</v>
      </c>
      <c r="T77" s="20">
        <f>IFERROR(_xlfn.MINIFS('Input - Admin &amp; Management'!$F$3:$F$50,'Input - Admin &amp; Management'!$G$3:$G$50,"Chief Operating Officer/General Manager",'Input - Admin &amp; Management'!$H$3:$H$50,"M",'Input - Admin &amp; Management'!$I$3:$I$50,"WA"),0)</f>
        <v>0</v>
      </c>
      <c r="U77" s="21">
        <f>IFERROR(_xlfn.MAXIFS('Input - Admin &amp; Management'!$F$3:$F$50,'Input - Admin &amp; Management'!$G$3:$G$50,"Chief Operating Officer/General Manager",'Input - Admin &amp; Management'!$H$3:$H$50,"M",'Input - Admin &amp; Management'!$I$3:$I$50,"WA"),0)</f>
        <v>0</v>
      </c>
      <c r="V77" s="10">
        <f>COUNTIFS('Input - Admin &amp; Management'!$G$3:$G$50,"Chief Operating Officer/General Manager",'Input - Admin &amp; Management'!$H$3:$H$50,"M",'Input - Admin &amp; Management'!$I$3:$I$50,"TAS")</f>
        <v>0</v>
      </c>
      <c r="W77" s="12">
        <f>IFERROR(AVERAGEIFS('Input - Admin &amp; Management'!$F$3:$F$50,'Input - Admin &amp; Management'!$G$3:$G$50,"Chief Operating Officer/General Manager",'Input - Admin &amp; Management'!$H$3:$H$50,"M",'Input - Admin &amp; Management'!$I$3:$I$50,"TAS"),0)</f>
        <v>0</v>
      </c>
      <c r="X77" s="12">
        <f>IFERROR(_xlfn.MINIFS('Input - Admin &amp; Management'!$F$3:$F$50,'Input - Admin &amp; Management'!$G$3:$G$50,"Chief Operating Officer/General Manager",'Input - Admin &amp; Management'!$H$3:$H$50,"M",'Input - Admin &amp; Management'!$I$3:$I$50,"TAS"),0)</f>
        <v>0</v>
      </c>
      <c r="Y77" s="15">
        <f>IFERROR(_xlfn.MAXIFS('Input - Admin &amp; Management'!$F$3:$F$50,'Input - Admin &amp; Management'!$G$3:$G$50,"Chief Operating Officer/General Manager",'Input - Admin &amp; Management'!$H$3:$H$50,"M",'Input - Admin &amp; Management'!$I$3:$I$50,"TAS"),0)</f>
        <v>0</v>
      </c>
      <c r="Z77" s="19">
        <f>COUNTIFS('Input - Admin &amp; Management'!$G$3:$G$50,"Chief Operating Officer/General Manager",'Input - Admin &amp; Management'!$H$3:$H$50,"M",'Input - Admin &amp; Management'!$I$3:$I$50,"NT")</f>
        <v>0</v>
      </c>
      <c r="AA77" s="20">
        <f>IFERROR(AVERAGEIFS('Input - Admin &amp; Management'!$F$3:$F$50,'Input - Admin &amp; Management'!$G$3:$G$50,"Chief Operating Officer/General Manager",'Input - Admin &amp; Management'!$H$3:$H$50,"M",'Input - Admin &amp; Management'!$I$3:$I$50,"NT"),0)</f>
        <v>0</v>
      </c>
      <c r="AB77" s="20">
        <f>IFERROR(_xlfn.MINIFS('Input - Admin &amp; Management'!$F$3:$F$50,'Input - Admin &amp; Management'!$G$3:$G$50,"Chief Operating Officer/General Manager",'Input - Admin &amp; Management'!$H$3:$H$50,"M",'Input - Admin &amp; Management'!$I$3:$I$50,"NT"),0)</f>
        <v>0</v>
      </c>
      <c r="AC77" s="21">
        <f>IFERROR(_xlfn.MAXIFS('Input - Admin &amp; Management'!$F$3:$F$50,'Input - Admin &amp; Management'!$G$3:$G$50,"Chief Operating Officer/General Manager",'Input - Admin &amp; Management'!$H$3:$H$50,"M",'Input - Admin &amp; Management'!$I$3:$I$50,"NT"),0)</f>
        <v>0</v>
      </c>
      <c r="AD77" s="10">
        <f>COUNTIFS('Input - Admin &amp; Management'!$G$3:$G$50,"Chief Operating Officer/General Manager",'Input - Admin &amp; Management'!$H$3:$H$50,"M",'Input - Admin &amp; Management'!$I$3:$I$50,"ACT")</f>
        <v>0</v>
      </c>
      <c r="AE77" s="12">
        <f>IFERROR(AVERAGEIFS('Input - Admin &amp; Management'!$F$3:$F$50,'Input - Admin &amp; Management'!$G$3:$G$50,"Chief Operating Officer/General Manager",'Input - Admin &amp; Management'!$H$3:$H$50,"M",'Input - Admin &amp; Management'!$I$3:$I$50,"ACT"),0)</f>
        <v>0</v>
      </c>
      <c r="AF77" s="12">
        <f>IFERROR(_xlfn.MINIFS('Input - Admin &amp; Management'!$F$3:$F$50,'Input - Admin &amp; Management'!$G$3:$G$50,"Chief Operating Officer/General Manager",'Input - Admin &amp; Management'!$H$3:$H$50,"M",'Input - Admin &amp; Management'!$I$3:$I$50,"ACT"),0)</f>
        <v>0</v>
      </c>
      <c r="AG77" s="15">
        <f>IFERROR(_xlfn.MAXIFS('Input - Admin &amp; Management'!$F$3:$F$50,'Input - Admin &amp; Management'!$G$3:$G$50,"Chief Operating Officer/General Manager",'Input - Admin &amp; Management'!$H$3:$H$50,"M",'Input - Admin &amp; Management'!$I$3:$I$50,"ACT"),0)</f>
        <v>0</v>
      </c>
    </row>
    <row r="78" spans="1:33" x14ac:dyDescent="0.35">
      <c r="A78" s="11" t="s">
        <v>122</v>
      </c>
      <c r="B78" s="19">
        <f>COUNTIFS('Input - Admin &amp; Management'!$G$3:$G$50,"Chief Operating Officer/General Manager",'Input - Admin &amp; Management'!$H$3:$H$50,"F",'Input - Admin &amp; Management'!$I$3:$I$50,"QLD")</f>
        <v>0</v>
      </c>
      <c r="C78" s="20">
        <f>IFERROR(AVERAGEIFS('Input - Admin &amp; Management'!$F$3:$F$50,'Input - Admin &amp; Management'!$G$3:$G$50,"Chief Operating Officer/General Manager",'Input - Admin &amp; Management'!$H$3:$H$50,"F",'Input - Admin &amp; Management'!$I$3:$I$50,"QLD"),0)</f>
        <v>0</v>
      </c>
      <c r="D78" s="20">
        <f>IFERROR(_xlfn.MINIFS('Input - Admin &amp; Management'!$F$3:$F$50,'Input - Admin &amp; Management'!$G$3:$G$50,"Chief Operating Officer/General Manager",'Input - Admin &amp; Management'!$H$3:$H$50,"F",'Input - Admin &amp; Management'!$I$3:$I$50,"QLD"),0)</f>
        <v>0</v>
      </c>
      <c r="E78" s="21">
        <f>IFERROR(_xlfn.MAXIFS('Input - Admin &amp; Management'!$F$3:$F$50,'Input - Admin &amp; Management'!$G$3:$G$50,"Chief Operating Officer/General Manager",'Input - Admin &amp; Management'!$H$3:$H$50,"F",'Input - Admin &amp; Management'!$I$3:$I$50,"QLD"),0)</f>
        <v>0</v>
      </c>
      <c r="F78" s="10">
        <f>COUNTIFS('Input - Admin &amp; Management'!$G$3:$G$50,"Chief Operating Officer/General Manager",'Input - Admin &amp; Management'!$H$3:$H$50,"F",'Input - Admin &amp; Management'!$I$3:$I$50,"NSW")</f>
        <v>0</v>
      </c>
      <c r="G78" s="12">
        <f>IFERROR(AVERAGEIFS('Input - Admin &amp; Management'!$F$3:$F$50,'Input - Admin &amp; Management'!$G$3:$G$50,"Chief Operating Officer/General Manager",'Input - Admin &amp; Management'!$H$3:$H$50,"F",'Input - Admin &amp; Management'!$I$3:$I$50,"NSW"),0)</f>
        <v>0</v>
      </c>
      <c r="H78" s="12">
        <f>IFERROR(_xlfn.MINIFS('Input - Admin &amp; Management'!$F$3:$F$50,'Input - Admin &amp; Management'!$G$3:$G$50,"Chief Operating Officer/General Manager",'Input - Admin &amp; Management'!$H$3:$H$50,"F",'Input - Admin &amp; Management'!$I$3:$I$50,"NSW"),0)</f>
        <v>0</v>
      </c>
      <c r="I78" s="15">
        <f>IFERROR(_xlfn.MAXIFS('Input - Admin &amp; Management'!$F$3:$F$50,'Input - Admin &amp; Management'!$G$3:$G$50,"Chief Operating Officer/General Manager",'Input - Admin &amp; Management'!$H$3:$H$50,"F",'Input - Admin &amp; Management'!$I$3:$I$50,"NSW"),0)</f>
        <v>0</v>
      </c>
      <c r="J78" s="19">
        <f>COUNTIFS('Input - Admin &amp; Management'!$G$3:$G$50,"Chief Operating Officer/General Manager",'Input - Admin &amp; Management'!$H$3:$H$50,"F",'Input - Admin &amp; Management'!$I$3:$I$50,"VIC")</f>
        <v>0</v>
      </c>
      <c r="K78" s="20">
        <f>IFERROR(AVERAGEIFS('Input - Admin &amp; Management'!$F$3:$F$50,'Input - Admin &amp; Management'!$G$3:$G$50,"Chief Operating Officer/General Manager",'Input - Admin &amp; Management'!$H$3:$H$50,"F",'Input - Admin &amp; Management'!$I$3:$I$50,"VIC"),0)</f>
        <v>0</v>
      </c>
      <c r="L78" s="20">
        <f>IFERROR(_xlfn.MINIFS('Input - Admin &amp; Management'!$F$3:$F$50,'Input - Admin &amp; Management'!$G$3:$G$50,"Chief Operating Officer/General Manager",'Input - Admin &amp; Management'!$H$3:$H$50,"F",'Input - Admin &amp; Management'!$I$3:$I$50,"VIC"),0)</f>
        <v>0</v>
      </c>
      <c r="M78" s="21">
        <f>IFERROR(_xlfn.MAXIFS('Input - Admin &amp; Management'!$F$3:$F$50,'Input - Admin &amp; Management'!$G$3:$G$50,"Chief Operating Officer/General Manager",'Input - Admin &amp; Management'!$H$3:$H$50,"F",'Input - Admin &amp; Management'!$I$3:$I$50,"VIC"),0)</f>
        <v>0</v>
      </c>
      <c r="N78" s="10">
        <f>COUNTIFS('Input - Admin &amp; Management'!$G$3:$G$50,"Chief Operating Officer/General Manager",'Input - Admin &amp; Management'!$H$3:$H$50,"F",'Input - Admin &amp; Management'!$I$3:$I$50,"SA")</f>
        <v>0</v>
      </c>
      <c r="O78" s="12">
        <f>IFERROR(AVERAGEIFS('Input - Admin &amp; Management'!$F$3:$F$50,'Input - Admin &amp; Management'!$G$3:$G$50,"Chief Operating Officer/General Manager",'Input - Admin &amp; Management'!$H$3:$H$50,"F",'Input - Admin &amp; Management'!$I$3:$I$50,"SA"),0)</f>
        <v>0</v>
      </c>
      <c r="P78" s="12">
        <f>IFERROR(_xlfn.MINIFS('Input - Admin &amp; Management'!$F$3:$F$50,'Input - Admin &amp; Management'!$G$3:$G$50,"Chief Operating Officer/General Manager",'Input - Admin &amp; Management'!$H$3:$H$50,"F",'Input - Admin &amp; Management'!$I$3:$I$50,"SA"),0)</f>
        <v>0</v>
      </c>
      <c r="Q78" s="15">
        <f>IFERROR(_xlfn.MAXIFS('Input - Admin &amp; Management'!$F$3:$F$50,'Input - Admin &amp; Management'!$G$3:$G$50,"Chief Operating Officer/General Manager",'Input - Admin &amp; Management'!$H$3:$H$50,"F",'Input - Admin &amp; Management'!$I$3:$I$50,"SA"),0)</f>
        <v>0</v>
      </c>
      <c r="R78" s="19">
        <f>COUNTIFS('Input - Admin &amp; Management'!$G$3:$G$50,"Chief Operating Officer/General Manager",'Input - Admin &amp; Management'!$H$3:$H$50,"F",'Input - Admin &amp; Management'!$I$3:$I$50,"WA")</f>
        <v>0</v>
      </c>
      <c r="S78" s="20">
        <f>IFERROR(AVERAGEIFS('Input - Admin &amp; Management'!$F$3:$F$50,'Input - Admin &amp; Management'!$G$3:$G$50,"Chief Operating Officer/General Manager",'Input - Admin &amp; Management'!$H$3:$H$50,"F",'Input - Admin &amp; Management'!$I$3:$I$50,"WA"),0)</f>
        <v>0</v>
      </c>
      <c r="T78" s="20">
        <f>IFERROR(_xlfn.MINIFS('Input - Admin &amp; Management'!$F$3:$F$50,'Input - Admin &amp; Management'!$G$3:$G$50,"Chief Operating Officer/General Manager",'Input - Admin &amp; Management'!$H$3:$H$50,"F",'Input - Admin &amp; Management'!$I$3:$I$50,"WA"),0)</f>
        <v>0</v>
      </c>
      <c r="U78" s="21">
        <f>IFERROR(_xlfn.MAXIFS('Input - Admin &amp; Management'!$F$3:$F$50,'Input - Admin &amp; Management'!$G$3:$G$50,"Chief Operating Officer/General Manager",'Input - Admin &amp; Management'!$H$3:$H$50,"F",'Input - Admin &amp; Management'!$I$3:$I$50,"WA"),0)</f>
        <v>0</v>
      </c>
      <c r="V78" s="10">
        <f>COUNTIFS('Input - Admin &amp; Management'!$G$3:$G$50,"Chief Operating Officer/General Manager",'Input - Admin &amp; Management'!$H$3:$H$50,"F",'Input - Admin &amp; Management'!$I$3:$I$50,"TAS")</f>
        <v>0</v>
      </c>
      <c r="W78" s="12">
        <f>IFERROR(AVERAGEIFS('Input - Admin &amp; Management'!$F$3:$F$50,'Input - Admin &amp; Management'!$G$3:$G$50,"Chief Operating Officer/General Manager",'Input - Admin &amp; Management'!$H$3:$H$50,"F",'Input - Admin &amp; Management'!$I$3:$I$50,"TAS"),0)</f>
        <v>0</v>
      </c>
      <c r="X78" s="12">
        <f>IFERROR(_xlfn.MINIFS('Input - Admin &amp; Management'!$F$3:$F$50,'Input - Admin &amp; Management'!$G$3:$G$50,"Chief Operating Officer/General Manager",'Input - Admin &amp; Management'!$H$3:$H$50,"F",'Input - Admin &amp; Management'!$I$3:$I$50,"TAS"),0)</f>
        <v>0</v>
      </c>
      <c r="Y78" s="15">
        <f>IFERROR(_xlfn.MAXIFS('Input - Admin &amp; Management'!$F$3:$F$50,'Input - Admin &amp; Management'!$G$3:$G$50,"Chief Operating Officer/General Manager",'Input - Admin &amp; Management'!$H$3:$H$50,"F",'Input - Admin &amp; Management'!$I$3:$I$50,"TAS"),0)</f>
        <v>0</v>
      </c>
      <c r="Z78" s="19">
        <f>COUNTIFS('Input - Admin &amp; Management'!$G$3:$G$50,"Chief Operating Officer/General Manager",'Input - Admin &amp; Management'!$H$3:$H$50,"F",'Input - Admin &amp; Management'!$I$3:$I$50,"NT")</f>
        <v>0</v>
      </c>
      <c r="AA78" s="20">
        <f>IFERROR(AVERAGEIFS('Input - Admin &amp; Management'!$F$3:$F$50,'Input - Admin &amp; Management'!$G$3:$G$50,"Chief Operating Officer/General Manager",'Input - Admin &amp; Management'!$H$3:$H$50,"F",'Input - Admin &amp; Management'!$I$3:$I$50,"NT"),0)</f>
        <v>0</v>
      </c>
      <c r="AB78" s="20">
        <f>IFERROR(_xlfn.MINIFS('Input - Admin &amp; Management'!$F$3:$F$50,'Input - Admin &amp; Management'!$G$3:$G$50,"Chief Operating Officer/General Manager",'Input - Admin &amp; Management'!$H$3:$H$50,"F",'Input - Admin &amp; Management'!$I$3:$I$50,"NT"),0)</f>
        <v>0</v>
      </c>
      <c r="AC78" s="21">
        <f>IFERROR(_xlfn.MAXIFS('Input - Admin &amp; Management'!$F$3:$F$50,'Input - Admin &amp; Management'!$G$3:$G$50,"Chief Operating Officer/General Manager",'Input - Admin &amp; Management'!$H$3:$H$50,"F",'Input - Admin &amp; Management'!$I$3:$I$50,"NT"),0)</f>
        <v>0</v>
      </c>
      <c r="AD78" s="10">
        <f>COUNTIFS('Input - Admin &amp; Management'!$G$3:$G$50,"Chief Operating Officer/General Manager",'Input - Admin &amp; Management'!$H$3:$H$50,"F",'Input - Admin &amp; Management'!$I$3:$I$50,"ACT")</f>
        <v>0</v>
      </c>
      <c r="AE78" s="12">
        <f>IFERROR(AVERAGEIFS('Input - Admin &amp; Management'!$F$3:$F$50,'Input - Admin &amp; Management'!$G$3:$G$50,"Chief Operating Officer/General Manager",'Input - Admin &amp; Management'!$H$3:$H$50,"F",'Input - Admin &amp; Management'!$I$3:$I$50,"ACT"),0)</f>
        <v>0</v>
      </c>
      <c r="AF78" s="12">
        <f>IFERROR(_xlfn.MINIFS('Input - Admin &amp; Management'!$F$3:$F$50,'Input - Admin &amp; Management'!$G$3:$G$50,"Chief Operating Officer/General Manager",'Input - Admin &amp; Management'!$H$3:$H$50,"F",'Input - Admin &amp; Management'!$I$3:$I$50,"ACT"),0)</f>
        <v>0</v>
      </c>
      <c r="AG78" s="15">
        <f>IFERROR(_xlfn.MAXIFS('Input - Admin &amp; Management'!$F$3:$F$50,'Input - Admin &amp; Management'!$G$3:$G$50,"Chief Operating Officer/General Manager",'Input - Admin &amp; Management'!$H$3:$H$50,"F",'Input - Admin &amp; Management'!$I$3:$I$50,"ACT"),0)</f>
        <v>0</v>
      </c>
    </row>
    <row r="79" spans="1:33" x14ac:dyDescent="0.35">
      <c r="A79" s="11" t="s">
        <v>123</v>
      </c>
      <c r="B79" s="19">
        <f>COUNTIFS('Input - Admin &amp; Management'!$G$3:$G$50,"Chief Executive Officer/Managing Director",'Input - Admin &amp; Management'!$H$3:$H$50,"M",'Input - Admin &amp; Management'!$I$3:$I$50,"QLD")</f>
        <v>0</v>
      </c>
      <c r="C79" s="20">
        <f>IFERROR(AVERAGEIFS('Input - Admin &amp; Management'!$F$3:$F$50,'Input - Admin &amp; Management'!$G$3:$G$50,"Chief Executive Officer/Managing Director",'Input - Admin &amp; Management'!$H$3:$H$50,"M",'Input - Admin &amp; Management'!$I$3:$I$50,"QLD"),0)</f>
        <v>0</v>
      </c>
      <c r="D79" s="20">
        <f>IFERROR(_xlfn.MINIFS('Input - Admin &amp; Management'!$F$3:$F$50,'Input - Admin &amp; Management'!$G$3:$G$50,"Chief Executive Officer/Managing Director",'Input - Admin &amp; Management'!$H$3:$H$50,"M",'Input - Admin &amp; Management'!$I$3:$I$50,"QLD"),0)</f>
        <v>0</v>
      </c>
      <c r="E79" s="21">
        <f>IFERROR(_xlfn.MAXIFS('Input - Admin &amp; Management'!$F$3:$F$50,'Input - Admin &amp; Management'!$G$3:$G$50,"Chief Executive Officer/Managing Director",'Input - Admin &amp; Management'!$H$3:$H$50,"M",'Input - Admin &amp; Management'!$I$3:$I$50,"QLD"),0)</f>
        <v>0</v>
      </c>
      <c r="F79" s="10">
        <f>COUNTIFS('Input - Admin &amp; Management'!$G$3:$G$50,"Chief Executive Officer/Managing Director",'Input - Admin &amp; Management'!$H$3:$H$50,"M",'Input - Admin &amp; Management'!$I$3:$I$50,"NSW")</f>
        <v>0</v>
      </c>
      <c r="G79" s="12">
        <f>IFERROR(AVERAGEIFS('Input - Admin &amp; Management'!$F$3:$F$50,'Input - Admin &amp; Management'!$G$3:$G$50,"Chief Executive Officer/Managing Director",'Input - Admin &amp; Management'!$H$3:$H$50,"M",'Input - Admin &amp; Management'!$I$3:$I$50,"NSW"),0)</f>
        <v>0</v>
      </c>
      <c r="H79" s="12">
        <f>IFERROR(_xlfn.MINIFS('Input - Admin &amp; Management'!$F$3:$F$50,'Input - Admin &amp; Management'!$G$3:$G$50,"Chief Executive Officer/Managing Director",'Input - Admin &amp; Management'!$H$3:$H$50,"M",'Input - Admin &amp; Management'!$I$3:$I$50,"NSW"),0)</f>
        <v>0</v>
      </c>
      <c r="I79" s="15">
        <f>IFERROR(_xlfn.MAXIFS('Input - Admin &amp; Management'!$F$3:$F$50,'Input - Admin &amp; Management'!$G$3:$G$50,"Chief Executive Officer/Managing Director",'Input - Admin &amp; Management'!$H$3:$H$50,"M",'Input - Admin &amp; Management'!$I$3:$I$50,"NSW"),0)</f>
        <v>0</v>
      </c>
      <c r="J79" s="19">
        <f>COUNTIFS('Input - Admin &amp; Management'!$G$3:$G$50,"Chief Executive Officer/Managing Director",'Input - Admin &amp; Management'!$H$3:$H$50,"M",'Input - Admin &amp; Management'!$I$3:$I$50,"VIC")</f>
        <v>0</v>
      </c>
      <c r="K79" s="20">
        <f>IFERROR(AVERAGEIFS('Input - Admin &amp; Management'!$F$3:$F$50,'Input - Admin &amp; Management'!$G$3:$G$50,"Chief Executive Officer/Managing Director",'Input - Admin &amp; Management'!$H$3:$H$50,"M",'Input - Admin &amp; Management'!$I$3:$I$50,"VIC"),0)</f>
        <v>0</v>
      </c>
      <c r="L79" s="20">
        <f>IFERROR(_xlfn.MINIFS('Input - Admin &amp; Management'!$F$3:$F$50,'Input - Admin &amp; Management'!$G$3:$G$50,"Chief Executive Officer/Managing Director",'Input - Admin &amp; Management'!$H$3:$H$50,"M",'Input - Admin &amp; Management'!$I$3:$I$50,"VIC"),0)</f>
        <v>0</v>
      </c>
      <c r="M79" s="21">
        <f>IFERROR(_xlfn.MAXIFS('Input - Admin &amp; Management'!$F$3:$F$50,'Input - Admin &amp; Management'!$G$3:$G$50,"Chief Executive Officer/Managing Director",'Input - Admin &amp; Management'!$H$3:$H$50,"M",'Input - Admin &amp; Management'!$I$3:$I$50,"VIC"),0)</f>
        <v>0</v>
      </c>
      <c r="N79" s="10">
        <f>COUNTIFS('Input - Admin &amp; Management'!$G$3:$G$50,"Chief Executive Officer/Managing Director",'Input - Admin &amp; Management'!$H$3:$H$50,"M",'Input - Admin &amp; Management'!$I$3:$I$50,"SA")</f>
        <v>0</v>
      </c>
      <c r="O79" s="12">
        <f>IFERROR(AVERAGEIFS('Input - Admin &amp; Management'!$F$3:$F$50,'Input - Admin &amp; Management'!$G$3:$G$50,"Chief Executive Officer/Managing Director",'Input - Admin &amp; Management'!$H$3:$H$50,"M",'Input - Admin &amp; Management'!$I$3:$I$50,"SA"),0)</f>
        <v>0</v>
      </c>
      <c r="P79" s="12">
        <f>IFERROR(_xlfn.MINIFS('Input - Admin &amp; Management'!$F$3:$F$50,'Input - Admin &amp; Management'!$G$3:$G$50,"Chief Executive Officer/Managing Director",'Input - Admin &amp; Management'!$H$3:$H$50,"M",'Input - Admin &amp; Management'!$I$3:$I$50,"SA"),0)</f>
        <v>0</v>
      </c>
      <c r="Q79" s="15">
        <f>IFERROR(_xlfn.MAXIFS('Input - Admin &amp; Management'!$F$3:$F$50,'Input - Admin &amp; Management'!$G$3:$G$50,"Chief Executive Officer/Managing Director",'Input - Admin &amp; Management'!$H$3:$H$50,"M",'Input - Admin &amp; Management'!$I$3:$I$50,"SA"),0)</f>
        <v>0</v>
      </c>
      <c r="R79" s="19">
        <f>COUNTIFS('Input - Admin &amp; Management'!$G$3:$G$50,"Chief Executive Officer/Managing Director",'Input - Admin &amp; Management'!$H$3:$H$50,"M",'Input - Admin &amp; Management'!$I$3:$I$50,"WA")</f>
        <v>0</v>
      </c>
      <c r="S79" s="20">
        <f>IFERROR(AVERAGEIFS('Input - Admin &amp; Management'!$F$3:$F$50,'Input - Admin &amp; Management'!$G$3:$G$50,"Chief Executive Officer/Managing Director",'Input - Admin &amp; Management'!$H$3:$H$50,"M",'Input - Admin &amp; Management'!$I$3:$I$50,"WA"),0)</f>
        <v>0</v>
      </c>
      <c r="T79" s="20">
        <f>IFERROR(_xlfn.MINIFS('Input - Admin &amp; Management'!$F$3:$F$50,'Input - Admin &amp; Management'!$G$3:$G$50,"Chief Executive Officer/Managing Director",'Input - Admin &amp; Management'!$H$3:$H$50,"M",'Input - Admin &amp; Management'!$I$3:$I$50,"WA"),0)</f>
        <v>0</v>
      </c>
      <c r="U79" s="21">
        <f>IFERROR(_xlfn.MAXIFS('Input - Admin &amp; Management'!$F$3:$F$50,'Input - Admin &amp; Management'!$G$3:$G$50,"Chief Executive Officer/Managing Director",'Input - Admin &amp; Management'!$H$3:$H$50,"M",'Input - Admin &amp; Management'!$I$3:$I$50,"WA"),0)</f>
        <v>0</v>
      </c>
      <c r="V79" s="10">
        <f>COUNTIFS('Input - Admin &amp; Management'!$G$3:$G$50,"Chief Executive Officer/Managing Director",'Input - Admin &amp; Management'!$H$3:$H$50,"M",'Input - Admin &amp; Management'!$I$3:$I$50,"TAS")</f>
        <v>0</v>
      </c>
      <c r="W79" s="12">
        <f>IFERROR(AVERAGEIFS('Input - Admin &amp; Management'!$F$3:$F$50,'Input - Admin &amp; Management'!$G$3:$G$50,"Chief Executive Officer/Managing Director",'Input - Admin &amp; Management'!$H$3:$H$50,"M",'Input - Admin &amp; Management'!$I$3:$I$50,"TAS"),0)</f>
        <v>0</v>
      </c>
      <c r="X79" s="12">
        <f>IFERROR(_xlfn.MINIFS('Input - Admin &amp; Management'!$F$3:$F$50,'Input - Admin &amp; Management'!$G$3:$G$50,"Chief Executive Officer/Managing Director",'Input - Admin &amp; Management'!$H$3:$H$50,"M",'Input - Admin &amp; Management'!$I$3:$I$50,"TAS"),0)</f>
        <v>0</v>
      </c>
      <c r="Y79" s="15">
        <f>IFERROR(_xlfn.MAXIFS('Input - Admin &amp; Management'!$F$3:$F$50,'Input - Admin &amp; Management'!$G$3:$G$50,"Chief Executive Officer/Managing Director",'Input - Admin &amp; Management'!$H$3:$H$50,"M",'Input - Admin &amp; Management'!$I$3:$I$50,"TAS"),0)</f>
        <v>0</v>
      </c>
      <c r="Z79" s="19">
        <f>COUNTIFS('Input - Admin &amp; Management'!$G$3:$G$50,"Chief Executive Officer/Managing Director",'Input - Admin &amp; Management'!$H$3:$H$50,"M",'Input - Admin &amp; Management'!$I$3:$I$50,"NT")</f>
        <v>0</v>
      </c>
      <c r="AA79" s="20">
        <f>IFERROR(AVERAGEIFS('Input - Admin &amp; Management'!$F$3:$F$50,'Input - Admin &amp; Management'!$G$3:$G$50,"Chief Executive Officer/Managing Director",'Input - Admin &amp; Management'!$H$3:$H$50,"M",'Input - Admin &amp; Management'!$I$3:$I$50,"NT"),0)</f>
        <v>0</v>
      </c>
      <c r="AB79" s="20">
        <f>IFERROR(_xlfn.MINIFS('Input - Admin &amp; Management'!$F$3:$F$50,'Input - Admin &amp; Management'!$G$3:$G$50,"Chief Executive Officer/Managing Director",'Input - Admin &amp; Management'!$H$3:$H$50,"M",'Input - Admin &amp; Management'!$I$3:$I$50,"NT"),0)</f>
        <v>0</v>
      </c>
      <c r="AC79" s="21">
        <f>IFERROR(_xlfn.MAXIFS('Input - Admin &amp; Management'!$F$3:$F$50,'Input - Admin &amp; Management'!$G$3:$G$50,"Chief Executive Officer/Managing Director",'Input - Admin &amp; Management'!$H$3:$H$50,"M",'Input - Admin &amp; Management'!$I$3:$I$50,"NT"),0)</f>
        <v>0</v>
      </c>
      <c r="AD79" s="10">
        <f>COUNTIFS('Input - Admin &amp; Management'!$G$3:$G$50,"Chief Executive Officer/Managing Director",'Input - Admin &amp; Management'!$H$3:$H$50,"M",'Input - Admin &amp; Management'!$I$3:$I$50,"ACT")</f>
        <v>0</v>
      </c>
      <c r="AE79" s="12">
        <f>IFERROR(AVERAGEIFS('Input - Admin &amp; Management'!$F$3:$F$50,'Input - Admin &amp; Management'!$G$3:$G$50,"Chief Executive Officer/Managing Director",'Input - Admin &amp; Management'!$H$3:$H$50,"M",'Input - Admin &amp; Management'!$I$3:$I$50,"ACT"),0)</f>
        <v>0</v>
      </c>
      <c r="AF79" s="12">
        <f>IFERROR(_xlfn.MINIFS('Input - Admin &amp; Management'!$F$3:$F$50,'Input - Admin &amp; Management'!$G$3:$G$50,"Chief Executive Officer/Managing Director",'Input - Admin &amp; Management'!$H$3:$H$50,"M",'Input - Admin &amp; Management'!$I$3:$I$50,"ACT"),0)</f>
        <v>0</v>
      </c>
      <c r="AG79" s="15">
        <f>IFERROR(_xlfn.MAXIFS('Input - Admin &amp; Management'!$F$3:$F$50,'Input - Admin &amp; Management'!$G$3:$G$50,"Chief Executive Officer/Managing Director",'Input - Admin &amp; Management'!$H$3:$H$50,"M",'Input - Admin &amp; Management'!$I$3:$I$50,"ACT"),0)</f>
        <v>0</v>
      </c>
    </row>
    <row r="80" spans="1:33" x14ac:dyDescent="0.35">
      <c r="A80" s="11" t="s">
        <v>124</v>
      </c>
      <c r="B80" s="19">
        <f>COUNTIFS('Input - Admin &amp; Management'!$G$3:$G$50,"Chief Executive Officer/Managing Director",'Input - Admin &amp; Management'!$H$3:$H$50,"F",'Input - Admin &amp; Management'!$I$3:$I$50,"QLD")</f>
        <v>0</v>
      </c>
      <c r="C80" s="20">
        <f>IFERROR(AVERAGEIFS('Input - Admin &amp; Management'!$F$3:$F$50,'Input - Admin &amp; Management'!$G$3:$G$50,"Chief Executive Officer/Managing Director",'Input - Admin &amp; Management'!$H$3:$H$50,"F",'Input - Admin &amp; Management'!$I$3:$I$50,"QLD"),0)</f>
        <v>0</v>
      </c>
      <c r="D80" s="20">
        <f>IFERROR(_xlfn.MINIFS('Input - Admin &amp; Management'!$F$3:$F$50,'Input - Admin &amp; Management'!$G$3:$G$50,"Chief Executive Officer/Managing Director",'Input - Admin &amp; Management'!$H$3:$H$50,"F",'Input - Admin &amp; Management'!$I$3:$I$50,"QLD"),0)</f>
        <v>0</v>
      </c>
      <c r="E80" s="21">
        <f>IFERROR(_xlfn.MAXIFS('Input - Admin &amp; Management'!$F$3:$F$50,'Input - Admin &amp; Management'!$G$3:$G$50,"Chief Executive Officer/Managing Director",'Input - Admin &amp; Management'!$H$3:$H$50,"F",'Input - Admin &amp; Management'!$I$3:$I$50,"QLD"),0)</f>
        <v>0</v>
      </c>
      <c r="F80" s="10">
        <f>COUNTIFS('Input - Admin &amp; Management'!$G$3:$G$50,"Chief Executive Officer/Managing Director",'Input - Admin &amp; Management'!$H$3:$H$50,"F",'Input - Admin &amp; Management'!$I$3:$I$50,"NSW")</f>
        <v>0</v>
      </c>
      <c r="G80" s="12">
        <f>IFERROR(AVERAGEIFS('Input - Admin &amp; Management'!$F$3:$F$50,'Input - Admin &amp; Management'!$G$3:$G$50,"Chief Executive Officer/Managing Director",'Input - Admin &amp; Management'!$H$3:$H$50,"F",'Input - Admin &amp; Management'!$I$3:$I$50,"NSW"),0)</f>
        <v>0</v>
      </c>
      <c r="H80" s="12">
        <f>IFERROR(_xlfn.MINIFS('Input - Admin &amp; Management'!$F$3:$F$50,'Input - Admin &amp; Management'!$G$3:$G$50,"Chief Executive Officer/Managing Director",'Input - Admin &amp; Management'!$H$3:$H$50,"F",'Input - Admin &amp; Management'!$I$3:$I$50,"NSW"),0)</f>
        <v>0</v>
      </c>
      <c r="I80" s="15">
        <f>IFERROR(_xlfn.MAXIFS('Input - Admin &amp; Management'!$F$3:$F$50,'Input - Admin &amp; Management'!$G$3:$G$50,"Chief Executive Officer/Managing Director",'Input - Admin &amp; Management'!$H$3:$H$50,"F",'Input - Admin &amp; Management'!$I$3:$I$50,"NSW"),0)</f>
        <v>0</v>
      </c>
      <c r="J80" s="19">
        <f>COUNTIFS('Input - Admin &amp; Management'!$G$3:$G$50,"Chief Executive Officer/Managing Director",'Input - Admin &amp; Management'!$H$3:$H$50,"F",'Input - Admin &amp; Management'!$I$3:$I$50,"VIC")</f>
        <v>0</v>
      </c>
      <c r="K80" s="20">
        <f>IFERROR(AVERAGEIFS('Input - Admin &amp; Management'!$F$3:$F$50,'Input - Admin &amp; Management'!$G$3:$G$50,"Chief Executive Officer/Managing Director",'Input - Admin &amp; Management'!$H$3:$H$50,"F",'Input - Admin &amp; Management'!$I$3:$I$50,"VIC"),0)</f>
        <v>0</v>
      </c>
      <c r="L80" s="20">
        <f>IFERROR(_xlfn.MINIFS('Input - Admin &amp; Management'!$F$3:$F$50,'Input - Admin &amp; Management'!$G$3:$G$50,"Chief Executive Officer/Managing Director",'Input - Admin &amp; Management'!$H$3:$H$50,"F",'Input - Admin &amp; Management'!$I$3:$I$50,"VIC"),0)</f>
        <v>0</v>
      </c>
      <c r="M80" s="21">
        <f>IFERROR(_xlfn.MAXIFS('Input - Admin &amp; Management'!$F$3:$F$50,'Input - Admin &amp; Management'!$G$3:$G$50,"Chief Executive Officer/Managing Director",'Input - Admin &amp; Management'!$H$3:$H$50,"F",'Input - Admin &amp; Management'!$I$3:$I$50,"VIC"),0)</f>
        <v>0</v>
      </c>
      <c r="N80" s="10">
        <f>COUNTIFS('Input - Admin &amp; Management'!$G$3:$G$50,"Chief Executive Officer/Managing Director",'Input - Admin &amp; Management'!$H$3:$H$50,"F",'Input - Admin &amp; Management'!$I$3:$I$50,"SA")</f>
        <v>0</v>
      </c>
      <c r="O80" s="12">
        <f>IFERROR(AVERAGEIFS('Input - Admin &amp; Management'!$F$3:$F$50,'Input - Admin &amp; Management'!$G$3:$G$50,"Chief Executive Officer/Managing Director",'Input - Admin &amp; Management'!$H$3:$H$50,"F",'Input - Admin &amp; Management'!$I$3:$I$50,"SA"),0)</f>
        <v>0</v>
      </c>
      <c r="P80" s="12">
        <f>IFERROR(_xlfn.MINIFS('Input - Admin &amp; Management'!$F$3:$F$50,'Input - Admin &amp; Management'!$G$3:$G$50,"Chief Executive Officer/Managing Director",'Input - Admin &amp; Management'!$H$3:$H$50,"F",'Input - Admin &amp; Management'!$I$3:$I$50,"SA"),0)</f>
        <v>0</v>
      </c>
      <c r="Q80" s="15">
        <f>IFERROR(_xlfn.MAXIFS('Input - Admin &amp; Management'!$F$3:$F$50,'Input - Admin &amp; Management'!$G$3:$G$50,"Chief Executive Officer/Managing Director",'Input - Admin &amp; Management'!$H$3:$H$50,"F",'Input - Admin &amp; Management'!$I$3:$I$50,"SA"),0)</f>
        <v>0</v>
      </c>
      <c r="R80" s="19">
        <f>COUNTIFS('Input - Admin &amp; Management'!$G$3:$G$50,"Chief Executive Officer/Managing Director",'Input - Admin &amp; Management'!$H$3:$H$50,"F",'Input - Admin &amp; Management'!$I$3:$I$50,"WA")</f>
        <v>0</v>
      </c>
      <c r="S80" s="20">
        <f>IFERROR(AVERAGEIFS('Input - Admin &amp; Management'!$F$3:$F$50,'Input - Admin &amp; Management'!$G$3:$G$50,"Chief Executive Officer/Managing Director",'Input - Admin &amp; Management'!$H$3:$H$50,"F",'Input - Admin &amp; Management'!$I$3:$I$50,"WA"),0)</f>
        <v>0</v>
      </c>
      <c r="T80" s="20">
        <f>IFERROR(_xlfn.MINIFS('Input - Admin &amp; Management'!$F$3:$F$50,'Input - Admin &amp; Management'!$G$3:$G$50,"Chief Executive Officer/Managing Director",'Input - Admin &amp; Management'!$H$3:$H$50,"F",'Input - Admin &amp; Management'!$I$3:$I$50,"WA"),0)</f>
        <v>0</v>
      </c>
      <c r="U80" s="21">
        <f>IFERROR(_xlfn.MAXIFS('Input - Admin &amp; Management'!$F$3:$F$50,'Input - Admin &amp; Management'!$G$3:$G$50,"Chief Executive Officer/Managing Director",'Input - Admin &amp; Management'!$H$3:$H$50,"F",'Input - Admin &amp; Management'!$I$3:$I$50,"WA"),0)</f>
        <v>0</v>
      </c>
      <c r="V80" s="10">
        <f>COUNTIFS('Input - Admin &amp; Management'!$G$3:$G$50,"Chief Executive Officer/Managing Director",'Input - Admin &amp; Management'!$H$3:$H$50,"F",'Input - Admin &amp; Management'!$I$3:$I$50,"TAS")</f>
        <v>0</v>
      </c>
      <c r="W80" s="12">
        <f>IFERROR(AVERAGEIFS('Input - Admin &amp; Management'!$F$3:$F$50,'Input - Admin &amp; Management'!$G$3:$G$50,"Chief Executive Officer/Managing Director",'Input - Admin &amp; Management'!$H$3:$H$50,"F",'Input - Admin &amp; Management'!$I$3:$I$50,"TAS"),0)</f>
        <v>0</v>
      </c>
      <c r="X80" s="12">
        <f>IFERROR(_xlfn.MINIFS('Input - Admin &amp; Management'!$F$3:$F$50,'Input - Admin &amp; Management'!$G$3:$G$50,"Chief Executive Officer/Managing Director",'Input - Admin &amp; Management'!$H$3:$H$50,"F",'Input - Admin &amp; Management'!$I$3:$I$50,"TAS"),0)</f>
        <v>0</v>
      </c>
      <c r="Y80" s="15">
        <f>IFERROR(_xlfn.MAXIFS('Input - Admin &amp; Management'!$F$3:$F$50,'Input - Admin &amp; Management'!$G$3:$G$50,"Chief Executive Officer/Managing Director",'Input - Admin &amp; Management'!$H$3:$H$50,"F",'Input - Admin &amp; Management'!$I$3:$I$50,"TAS"),0)</f>
        <v>0</v>
      </c>
      <c r="Z80" s="19">
        <f>COUNTIFS('Input - Admin &amp; Management'!$G$3:$G$50,"Chief Executive Officer/Managing Director",'Input - Admin &amp; Management'!$H$3:$H$50,"F",'Input - Admin &amp; Management'!$I$3:$I$50,"NT")</f>
        <v>0</v>
      </c>
      <c r="AA80" s="20">
        <f>IFERROR(AVERAGEIFS('Input - Admin &amp; Management'!$F$3:$F$50,'Input - Admin &amp; Management'!$G$3:$G$50,"Chief Executive Officer/Managing Director",'Input - Admin &amp; Management'!$H$3:$H$50,"F",'Input - Admin &amp; Management'!$I$3:$I$50,"NT"),0)</f>
        <v>0</v>
      </c>
      <c r="AB80" s="20">
        <f>IFERROR(_xlfn.MINIFS('Input - Admin &amp; Management'!$F$3:$F$50,'Input - Admin &amp; Management'!$G$3:$G$50,"Chief Executive Officer/Managing Director",'Input - Admin &amp; Management'!$H$3:$H$50,"F",'Input - Admin &amp; Management'!$I$3:$I$50,"NT"),0)</f>
        <v>0</v>
      </c>
      <c r="AC80" s="21">
        <f>IFERROR(_xlfn.MAXIFS('Input - Admin &amp; Management'!$F$3:$F$50,'Input - Admin &amp; Management'!$G$3:$G$50,"Chief Executive Officer/Managing Director",'Input - Admin &amp; Management'!$H$3:$H$50,"F",'Input - Admin &amp; Management'!$I$3:$I$50,"NT"),0)</f>
        <v>0</v>
      </c>
      <c r="AD80" s="10">
        <f>COUNTIFS('Input - Admin &amp; Management'!$G$3:$G$50,"Chief Executive Officer/Managing Director",'Input - Admin &amp; Management'!$H$3:$H$50,"F",'Input - Admin &amp; Management'!$I$3:$I$50,"ACT")</f>
        <v>0</v>
      </c>
      <c r="AE80" s="12">
        <f>IFERROR(AVERAGEIFS('Input - Admin &amp; Management'!$F$3:$F$50,'Input - Admin &amp; Management'!$G$3:$G$50,"Chief Executive Officer/Managing Director",'Input - Admin &amp; Management'!$H$3:$H$50,"F",'Input - Admin &amp; Management'!$I$3:$I$50,"ACT"),0)</f>
        <v>0</v>
      </c>
      <c r="AF80" s="12">
        <f>IFERROR(_xlfn.MINIFS('Input - Admin &amp; Management'!$F$3:$F$50,'Input - Admin &amp; Management'!$G$3:$G$50,"Chief Executive Officer/Managing Director",'Input - Admin &amp; Management'!$H$3:$H$50,"F",'Input - Admin &amp; Management'!$I$3:$I$50,"ACT"),0)</f>
        <v>0</v>
      </c>
      <c r="AG80" s="15">
        <f>IFERROR(_xlfn.MAXIFS('Input - Admin &amp; Management'!$F$3:$F$50,'Input - Admin &amp; Management'!$G$3:$G$50,"Chief Executive Officer/Managing Director",'Input - Admin &amp; Management'!$H$3:$H$50,"F",'Input - Admin &amp; Management'!$I$3:$I$50,"ACT"),0)</f>
        <v>0</v>
      </c>
    </row>
    <row r="81" spans="1:33" x14ac:dyDescent="0.35">
      <c r="A81" s="11" t="s">
        <v>125</v>
      </c>
      <c r="B81" s="19">
        <f>COUNTIFS('Input - Admin &amp; Management'!$G$3:$G$50,"Non-executive Director",'Input - Admin &amp; Management'!$H$3:$H$50,"M",'Input - Admin &amp; Management'!$I$3:$I$50,"QLD")</f>
        <v>0</v>
      </c>
      <c r="C81" s="20">
        <f>IFERROR(AVERAGEIFS('Input - Admin &amp; Management'!$F$3:$F$50,'Input - Admin &amp; Management'!$G$3:$G$50,"Non-executive Director",'Input - Admin &amp; Management'!$H$3:$H$50,"M",'Input - Admin &amp; Management'!$I$3:$I$50,"QLD"),0)</f>
        <v>0</v>
      </c>
      <c r="D81" s="20">
        <f>IFERROR(_xlfn.MINIFS('Input - Admin &amp; Management'!$F$3:$F$50,'Input - Admin &amp; Management'!$G$3:$G$50,"Non-executive Director",'Input - Admin &amp; Management'!$H$3:$H$50,"M",'Input - Admin &amp; Management'!$I$3:$I$50,"QLD"),0)</f>
        <v>0</v>
      </c>
      <c r="E81" s="21">
        <f>IFERROR(_xlfn.MAXIFS('Input - Admin &amp; Management'!$F$3:$F$50,'Input - Admin &amp; Management'!$G$3:$G$50,"Non-executive Director",'Input - Admin &amp; Management'!$H$3:$H$50,"M",'Input - Admin &amp; Management'!$I$3:$I$50,"QLD"),0)</f>
        <v>0</v>
      </c>
      <c r="F81" s="10">
        <f>COUNTIFS('Input - Admin &amp; Management'!$G$3:$G$50,"Non-executive Director",'Input - Admin &amp; Management'!$H$3:$H$50,"M",'Input - Admin &amp; Management'!$I$3:$I$50,"NSW")</f>
        <v>0</v>
      </c>
      <c r="G81" s="12">
        <f>IFERROR(AVERAGEIFS('Input - Admin &amp; Management'!$F$3:$F$50,'Input - Admin &amp; Management'!$G$3:$G$50,"Non-executive Director",'Input - Admin &amp; Management'!$H$3:$H$50,"M",'Input - Admin &amp; Management'!$I$3:$I$50,"NSW"),0)</f>
        <v>0</v>
      </c>
      <c r="H81" s="12">
        <f>IFERROR(_xlfn.MINIFS('Input - Admin &amp; Management'!$F$3:$F$50,'Input - Admin &amp; Management'!$G$3:$G$50,"Non-executive Director",'Input - Admin &amp; Management'!$H$3:$H$50,"M",'Input - Admin &amp; Management'!$I$3:$I$50,"NSW"),0)</f>
        <v>0</v>
      </c>
      <c r="I81" s="15">
        <f>IFERROR(_xlfn.MAXIFS('Input - Admin &amp; Management'!$F$3:$F$50,'Input - Admin &amp; Management'!$G$3:$G$50,"Non-executive Director",'Input - Admin &amp; Management'!$H$3:$H$50,"M",'Input - Admin &amp; Management'!$I$3:$I$50,"NSW"),0)</f>
        <v>0</v>
      </c>
      <c r="J81" s="19">
        <f>COUNTIFS('Input - Admin &amp; Management'!$G$3:$G$50,"Non-executive Director",'Input - Admin &amp; Management'!$H$3:$H$50,"M",'Input - Admin &amp; Management'!$I$3:$I$50,"VIC")</f>
        <v>0</v>
      </c>
      <c r="K81" s="20">
        <f>IFERROR(AVERAGEIFS('Input - Admin &amp; Management'!$F$3:$F$50,'Input - Admin &amp; Management'!$G$3:$G$50,"Non-executive Director",'Input - Admin &amp; Management'!$H$3:$H$50,"M",'Input - Admin &amp; Management'!$I$3:$I$50,"VIC"),0)</f>
        <v>0</v>
      </c>
      <c r="L81" s="20">
        <f>IFERROR(_xlfn.MINIFS('Input - Admin &amp; Management'!$F$3:$F$50,'Input - Admin &amp; Management'!$G$3:$G$50,"Non-executive Director",'Input - Admin &amp; Management'!$H$3:$H$50,"M",'Input - Admin &amp; Management'!$I$3:$I$50,"VIC"),0)</f>
        <v>0</v>
      </c>
      <c r="M81" s="21">
        <f>IFERROR(_xlfn.MAXIFS('Input - Admin &amp; Management'!$F$3:$F$50,'Input - Admin &amp; Management'!$G$3:$G$50,"Non-executive Director",'Input - Admin &amp; Management'!$H$3:$H$50,"M",'Input - Admin &amp; Management'!$I$3:$I$50,"VIC"),0)</f>
        <v>0</v>
      </c>
      <c r="N81" s="10">
        <f>COUNTIFS('Input - Admin &amp; Management'!$G$3:$G$50,"Non-executive Director",'Input - Admin &amp; Management'!$H$3:$H$50,"M",'Input - Admin &amp; Management'!$I$3:$I$50,"SA")</f>
        <v>0</v>
      </c>
      <c r="O81" s="12">
        <f>IFERROR(AVERAGEIFS('Input - Admin &amp; Management'!$F$3:$F$50,'Input - Admin &amp; Management'!$G$3:$G$50,"Non-executive Director",'Input - Admin &amp; Management'!$H$3:$H$50,"M",'Input - Admin &amp; Management'!$I$3:$I$50,"SA"),0)</f>
        <v>0</v>
      </c>
      <c r="P81" s="12">
        <f>IFERROR(_xlfn.MINIFS('Input - Admin &amp; Management'!$F$3:$F$50,'Input - Admin &amp; Management'!$G$3:$G$50,"Non-executive Director",'Input - Admin &amp; Management'!$H$3:$H$50,"M",'Input - Admin &amp; Management'!$I$3:$I$50,"SA"),0)</f>
        <v>0</v>
      </c>
      <c r="Q81" s="15">
        <f>IFERROR(_xlfn.MAXIFS('Input - Admin &amp; Management'!$F$3:$F$50,'Input - Admin &amp; Management'!$G$3:$G$50,"Non-executive Director",'Input - Admin &amp; Management'!$H$3:$H$50,"M",'Input - Admin &amp; Management'!$I$3:$I$50,"SA"),0)</f>
        <v>0</v>
      </c>
      <c r="R81" s="19">
        <f>COUNTIFS('Input - Admin &amp; Management'!$G$3:$G$50,"Non-executive Director",'Input - Admin &amp; Management'!$H$3:$H$50,"M",'Input - Admin &amp; Management'!$I$3:$I$50,"WA")</f>
        <v>0</v>
      </c>
      <c r="S81" s="20">
        <f>IFERROR(AVERAGEIFS('Input - Admin &amp; Management'!$F$3:$F$50,'Input - Admin &amp; Management'!$G$3:$G$50,"Non-executive Director",'Input - Admin &amp; Management'!$H$3:$H$50,"M",'Input - Admin &amp; Management'!$I$3:$I$50,"WA"),0)</f>
        <v>0</v>
      </c>
      <c r="T81" s="20">
        <f>IFERROR(_xlfn.MINIFS('Input - Admin &amp; Management'!$F$3:$F$50,'Input - Admin &amp; Management'!$G$3:$G$50,"Non-executive Director",'Input - Admin &amp; Management'!$H$3:$H$50,"M",'Input - Admin &amp; Management'!$I$3:$I$50,"WA"),0)</f>
        <v>0</v>
      </c>
      <c r="U81" s="21">
        <f>IFERROR(_xlfn.MAXIFS('Input - Admin &amp; Management'!$F$3:$F$50,'Input - Admin &amp; Management'!$G$3:$G$50,"Non-executive Director",'Input - Admin &amp; Management'!$H$3:$H$50,"M",'Input - Admin &amp; Management'!$I$3:$I$50,"WA"),0)</f>
        <v>0</v>
      </c>
      <c r="V81" s="10">
        <f>COUNTIFS('Input - Admin &amp; Management'!$G$3:$G$50,"Non-executive Director",'Input - Admin &amp; Management'!$H$3:$H$50,"M",'Input - Admin &amp; Management'!$I$3:$I$50,"TAS")</f>
        <v>0</v>
      </c>
      <c r="W81" s="12">
        <f>IFERROR(AVERAGEIFS('Input - Admin &amp; Management'!$F$3:$F$50,'Input - Admin &amp; Management'!$G$3:$G$50,"Non-executive Director",'Input - Admin &amp; Management'!$H$3:$H$50,"M",'Input - Admin &amp; Management'!$I$3:$I$50,"TAS"),0)</f>
        <v>0</v>
      </c>
      <c r="X81" s="12">
        <f>IFERROR(_xlfn.MINIFS('Input - Admin &amp; Management'!$F$3:$F$50,'Input - Admin &amp; Management'!$G$3:$G$50,"Non-executive Director",'Input - Admin &amp; Management'!$H$3:$H$50,"M",'Input - Admin &amp; Management'!$I$3:$I$50,"TAS"),0)</f>
        <v>0</v>
      </c>
      <c r="Y81" s="15">
        <f>IFERROR(_xlfn.MAXIFS('Input - Admin &amp; Management'!$F$3:$F$50,'Input - Admin &amp; Management'!$G$3:$G$50,"Non-executive Director",'Input - Admin &amp; Management'!$H$3:$H$50,"M",'Input - Admin &amp; Management'!$I$3:$I$50,"TAS"),0)</f>
        <v>0</v>
      </c>
      <c r="Z81" s="19">
        <f>COUNTIFS('Input - Admin &amp; Management'!$G$3:$G$50,"Non-executive Director",'Input - Admin &amp; Management'!$H$3:$H$50,"M",'Input - Admin &amp; Management'!$I$3:$I$50,"NT")</f>
        <v>0</v>
      </c>
      <c r="AA81" s="20">
        <f>IFERROR(AVERAGEIFS('Input - Admin &amp; Management'!$F$3:$F$50,'Input - Admin &amp; Management'!$G$3:$G$50,"Non-executive Director",'Input - Admin &amp; Management'!$H$3:$H$50,"M",'Input - Admin &amp; Management'!$I$3:$I$50,"NT"),0)</f>
        <v>0</v>
      </c>
      <c r="AB81" s="20">
        <f>IFERROR(_xlfn.MINIFS('Input - Admin &amp; Management'!$F$3:$F$50,'Input - Admin &amp; Management'!$G$3:$G$50,"Non-executive Director",'Input - Admin &amp; Management'!$H$3:$H$50,"M",'Input - Admin &amp; Management'!$I$3:$I$50,"NT"),0)</f>
        <v>0</v>
      </c>
      <c r="AC81" s="21">
        <f>IFERROR(_xlfn.MAXIFS('Input - Admin &amp; Management'!$F$3:$F$50,'Input - Admin &amp; Management'!$G$3:$G$50,"Non-executive Director",'Input - Admin &amp; Management'!$H$3:$H$50,"M",'Input - Admin &amp; Management'!$I$3:$I$50,"NT"),0)</f>
        <v>0</v>
      </c>
      <c r="AD81" s="10">
        <f>COUNTIFS('Input - Admin &amp; Management'!$G$3:$G$50,"Non-executive Director",'Input - Admin &amp; Management'!$H$3:$H$50,"M",'Input - Admin &amp; Management'!$I$3:$I$50,"ACT")</f>
        <v>0</v>
      </c>
      <c r="AE81" s="12">
        <f>IFERROR(AVERAGEIFS('Input - Admin &amp; Management'!$F$3:$F$50,'Input - Admin &amp; Management'!$G$3:$G$50,"Non-executive Director",'Input - Admin &amp; Management'!$H$3:$H$50,"M",'Input - Admin &amp; Management'!$I$3:$I$50,"ACT"),0)</f>
        <v>0</v>
      </c>
      <c r="AF81" s="12">
        <f>IFERROR(_xlfn.MINIFS('Input - Admin &amp; Management'!$F$3:$F$50,'Input - Admin &amp; Management'!$G$3:$G$50,"Non-executive Director",'Input - Admin &amp; Management'!$H$3:$H$50,"M",'Input - Admin &amp; Management'!$I$3:$I$50,"ACT"),0)</f>
        <v>0</v>
      </c>
      <c r="AG81" s="15">
        <f>IFERROR(_xlfn.MAXIFS('Input - Admin &amp; Management'!$F$3:$F$50,'Input - Admin &amp; Management'!$G$3:$G$50,"Non-executive Director",'Input - Admin &amp; Management'!$H$3:$H$50,"M",'Input - Admin &amp; Management'!$I$3:$I$50,"ACT"),0)</f>
        <v>0</v>
      </c>
    </row>
    <row r="82" spans="1:33" ht="15" thickBot="1" x14ac:dyDescent="0.4">
      <c r="A82" s="14" t="s">
        <v>126</v>
      </c>
      <c r="B82" s="22">
        <f>COUNTIFS('Input - Admin &amp; Management'!$G$3:$G$50,"Non-executive Director",'Input - Admin &amp; Management'!$H$3:$H$50,"F",'Input - Admin &amp; Management'!$I$3:$I$50,"QLD")</f>
        <v>0</v>
      </c>
      <c r="C82" s="23">
        <f>IFERROR(AVERAGEIFS('Input - Admin &amp; Management'!$F$3:$F$50,'Input - Admin &amp; Management'!$G$3:$G$50,"Non-executive Director",'Input - Admin &amp; Management'!$H$3:$H$50,"F",'Input - Admin &amp; Management'!$I$3:$I$50,"QLD"),0)</f>
        <v>0</v>
      </c>
      <c r="D82" s="23">
        <f>IFERROR(_xlfn.MINIFS('Input - Admin &amp; Management'!$F$3:$F$50,'Input - Admin &amp; Management'!$G$3:$G$50,"Non-executive Director",'Input - Admin &amp; Management'!$H$3:$H$50,"F",'Input - Admin &amp; Management'!$I$3:$I$50,"QLD"),0)</f>
        <v>0</v>
      </c>
      <c r="E82" s="24">
        <f>IFERROR(_xlfn.MAXIFS('Input - Admin &amp; Management'!$F$3:$F$50,'Input - Admin &amp; Management'!$G$3:$G$50,"Non-executive Director",'Input - Admin &amp; Management'!$H$3:$H$50,"F",'Input - Admin &amp; Management'!$I$3:$I$50,"QLD"),0)</f>
        <v>0</v>
      </c>
      <c r="F82" s="16">
        <f>COUNTIFS('Input - Admin &amp; Management'!$G$3:$G$50,"Non-executive Director",'Input - Admin &amp; Management'!$H$3:$H$50,"F",'Input - Admin &amp; Management'!$I$3:$I$50,"NSW")</f>
        <v>0</v>
      </c>
      <c r="G82" s="17">
        <f>IFERROR(AVERAGEIFS('Input - Admin &amp; Management'!$F$3:$F$50,'Input - Admin &amp; Management'!$G$3:$G$50,"Non-executive Director",'Input - Admin &amp; Management'!$H$3:$H$50,"F",'Input - Admin &amp; Management'!$I$3:$I$50,"NSW"),0)</f>
        <v>0</v>
      </c>
      <c r="H82" s="17">
        <f>IFERROR(_xlfn.MINIFS('Input - Admin &amp; Management'!$F$3:$F$50,'Input - Admin &amp; Management'!$G$3:$G$50,"Non-executive Director",'Input - Admin &amp; Management'!$H$3:$H$50,"F",'Input - Admin &amp; Management'!$I$3:$I$50,"NSW"),0)</f>
        <v>0</v>
      </c>
      <c r="I82" s="18">
        <f>IFERROR(_xlfn.MAXIFS('Input - Admin &amp; Management'!$F$3:$F$50,'Input - Admin &amp; Management'!$G$3:$G$50,"Non-executive Director",'Input - Admin &amp; Management'!$H$3:$H$50,"F",'Input - Admin &amp; Management'!$I$3:$I$50,"NSW"),0)</f>
        <v>0</v>
      </c>
      <c r="J82" s="22">
        <f>COUNTIFS('Input - Admin &amp; Management'!$G$3:$G$50,"Non-executive Director",'Input - Admin &amp; Management'!$H$3:$H$50,"F",'Input - Admin &amp; Management'!$I$3:$I$50,"VIC")</f>
        <v>0</v>
      </c>
      <c r="K82" s="23">
        <f>IFERROR(AVERAGEIFS('Input - Admin &amp; Management'!$F$3:$F$50,'Input - Admin &amp; Management'!$G$3:$G$50,"Non-executive Director",'Input - Admin &amp; Management'!$H$3:$H$50,"F",'Input - Admin &amp; Management'!$I$3:$I$50,"VIC"),0)</f>
        <v>0</v>
      </c>
      <c r="L82" s="23">
        <f>IFERROR(_xlfn.MINIFS('Input - Admin &amp; Management'!$F$3:$F$50,'Input - Admin &amp; Management'!$G$3:$G$50,"Non-executive Director",'Input - Admin &amp; Management'!$H$3:$H$50,"F",'Input - Admin &amp; Management'!$I$3:$I$50,"VIC"),0)</f>
        <v>0</v>
      </c>
      <c r="M82" s="24">
        <f>IFERROR(_xlfn.MAXIFS('Input - Admin &amp; Management'!$F$3:$F$50,'Input - Admin &amp; Management'!$G$3:$G$50,"Non-executive Director",'Input - Admin &amp; Management'!$H$3:$H$50,"F",'Input - Admin &amp; Management'!$I$3:$I$50,"VIC"),0)</f>
        <v>0</v>
      </c>
      <c r="N82" s="16">
        <f>COUNTIFS('Input - Admin &amp; Management'!$G$3:$G$50,"Non-executive Director",'Input - Admin &amp; Management'!$H$3:$H$50,"F",'Input - Admin &amp; Management'!$I$3:$I$50,"SA")</f>
        <v>0</v>
      </c>
      <c r="O82" s="17">
        <f>IFERROR(AVERAGEIFS('Input - Admin &amp; Management'!$F$3:$F$50,'Input - Admin &amp; Management'!$G$3:$G$50,"Non-executive Director",'Input - Admin &amp; Management'!$H$3:$H$50,"F",'Input - Admin &amp; Management'!$I$3:$I$50,"SA"),0)</f>
        <v>0</v>
      </c>
      <c r="P82" s="17">
        <f>IFERROR(_xlfn.MINIFS('Input - Admin &amp; Management'!$F$3:$F$50,'Input - Admin &amp; Management'!$G$3:$G$50,"Non-executive Director",'Input - Admin &amp; Management'!$H$3:$H$50,"F",'Input - Admin &amp; Management'!$I$3:$I$50,"SA"),0)</f>
        <v>0</v>
      </c>
      <c r="Q82" s="18">
        <f>IFERROR(_xlfn.MAXIFS('Input - Admin &amp; Management'!$F$3:$F$50,'Input - Admin &amp; Management'!$G$3:$G$50,"Non-executive Director",'Input - Admin &amp; Management'!$H$3:$H$50,"F",'Input - Admin &amp; Management'!$I$3:$I$50,"SA"),0)</f>
        <v>0</v>
      </c>
      <c r="R82" s="22">
        <f>COUNTIFS('Input - Admin &amp; Management'!$G$3:$G$50,"Non-executive Director",'Input - Admin &amp; Management'!$H$3:$H$50,"F",'Input - Admin &amp; Management'!$I$3:$I$50,"WA")</f>
        <v>0</v>
      </c>
      <c r="S82" s="23">
        <f>IFERROR(AVERAGEIFS('Input - Admin &amp; Management'!$F$3:$F$50,'Input - Admin &amp; Management'!$G$3:$G$50,"Non-executive Director",'Input - Admin &amp; Management'!$H$3:$H$50,"F",'Input - Admin &amp; Management'!$I$3:$I$50,"WA"),0)</f>
        <v>0</v>
      </c>
      <c r="T82" s="23">
        <f>IFERROR(_xlfn.MINIFS('Input - Admin &amp; Management'!$F$3:$F$50,'Input - Admin &amp; Management'!$G$3:$G$50,"Non-executive Director",'Input - Admin &amp; Management'!$H$3:$H$50,"F",'Input - Admin &amp; Management'!$I$3:$I$50,"WA"),0)</f>
        <v>0</v>
      </c>
      <c r="U82" s="24">
        <f>IFERROR(_xlfn.MAXIFS('Input - Admin &amp; Management'!$F$3:$F$50,'Input - Admin &amp; Management'!$G$3:$G$50,"Non-executive Director",'Input - Admin &amp; Management'!$H$3:$H$50,"F",'Input - Admin &amp; Management'!$I$3:$I$50,"WA"),0)</f>
        <v>0</v>
      </c>
      <c r="V82" s="16">
        <f>COUNTIFS('Input - Admin &amp; Management'!$G$3:$G$50,"Non-executive Director",'Input - Admin &amp; Management'!$H$3:$H$50,"F",'Input - Admin &amp; Management'!$I$3:$I$50,"TAS")</f>
        <v>0</v>
      </c>
      <c r="W82" s="17">
        <f>IFERROR(AVERAGEIFS('Input - Admin &amp; Management'!$F$3:$F$50,'Input - Admin &amp; Management'!$G$3:$G$50,"Non-executive Director",'Input - Admin &amp; Management'!$H$3:$H$50,"F",'Input - Admin &amp; Management'!$I$3:$I$50,"TAS"),0)</f>
        <v>0</v>
      </c>
      <c r="X82" s="17">
        <f>IFERROR(_xlfn.MINIFS('Input - Admin &amp; Management'!$F$3:$F$50,'Input - Admin &amp; Management'!$G$3:$G$50,"Non-executive Director",'Input - Admin &amp; Management'!$H$3:$H$50,"F",'Input - Admin &amp; Management'!$I$3:$I$50,"TAS"),0)</f>
        <v>0</v>
      </c>
      <c r="Y82" s="18">
        <f>IFERROR(_xlfn.MAXIFS('Input - Admin &amp; Management'!$F$3:$F$50,'Input - Admin &amp; Management'!$G$3:$G$50,"Non-executive Director",'Input - Admin &amp; Management'!$H$3:$H$50,"F",'Input - Admin &amp; Management'!$I$3:$I$50,"TAS"),0)</f>
        <v>0</v>
      </c>
      <c r="Z82" s="22">
        <f>COUNTIFS('Input - Admin &amp; Management'!$G$3:$G$50,"Non-executive Director",'Input - Admin &amp; Management'!$H$3:$H$50,"F",'Input - Admin &amp; Management'!$I$3:$I$50,"NT")</f>
        <v>0</v>
      </c>
      <c r="AA82" s="23">
        <f>IFERROR(AVERAGEIFS('Input - Admin &amp; Management'!$F$3:$F$50,'Input - Admin &amp; Management'!$G$3:$G$50,"Non-executive Director",'Input - Admin &amp; Management'!$H$3:$H$50,"F",'Input - Admin &amp; Management'!$I$3:$I$50,"NT"),0)</f>
        <v>0</v>
      </c>
      <c r="AB82" s="23">
        <f>IFERROR(_xlfn.MINIFS('Input - Admin &amp; Management'!$F$3:$F$50,'Input - Admin &amp; Management'!$G$3:$G$50,"Non-executive Director",'Input - Admin &amp; Management'!$H$3:$H$50,"F",'Input - Admin &amp; Management'!$I$3:$I$50,"NT"),0)</f>
        <v>0</v>
      </c>
      <c r="AC82" s="24">
        <f>IFERROR(_xlfn.MAXIFS('Input - Admin &amp; Management'!$F$3:$F$50,'Input - Admin &amp; Management'!$G$3:$G$50,"Non-executive Director",'Input - Admin &amp; Management'!$H$3:$H$50,"F",'Input - Admin &amp; Management'!$I$3:$I$50,"NT"),0)</f>
        <v>0</v>
      </c>
      <c r="AD82" s="16">
        <f>COUNTIFS('Input - Admin &amp; Management'!$G$3:$G$50,"Non-executive Director",'Input - Admin &amp; Management'!$H$3:$H$50,"F",'Input - Admin &amp; Management'!$I$3:$I$50,"ACT")</f>
        <v>0</v>
      </c>
      <c r="AE82" s="17">
        <f>IFERROR(AVERAGEIFS('Input - Admin &amp; Management'!$F$3:$F$50,'Input - Admin &amp; Management'!$G$3:$G$50,"Non-executive Director",'Input - Admin &amp; Management'!$H$3:$H$50,"F",'Input - Admin &amp; Management'!$I$3:$I$50,"ACT"),0)</f>
        <v>0</v>
      </c>
      <c r="AF82" s="17">
        <f>IFERROR(_xlfn.MINIFS('Input - Admin &amp; Management'!$F$3:$F$50,'Input - Admin &amp; Management'!$G$3:$G$50,"Non-executive Director",'Input - Admin &amp; Management'!$H$3:$H$50,"F",'Input - Admin &amp; Management'!$I$3:$I$50,"ACT"),0)</f>
        <v>0</v>
      </c>
      <c r="AG82" s="18">
        <f>IFERROR(_xlfn.MAXIFS('Input - Admin &amp; Management'!$F$3:$F$50,'Input - Admin &amp; Management'!$G$3:$G$50,"Non-executive Director",'Input - Admin &amp; Management'!$H$3:$H$50,"F",'Input - Admin &amp; Management'!$I$3:$I$50,"ACT"),0)</f>
        <v>0</v>
      </c>
    </row>
    <row r="85" spans="1:33" ht="15" thickBot="1" x14ac:dyDescent="0.4"/>
    <row r="86" spans="1:33" ht="29" thickBot="1" x14ac:dyDescent="0.7">
      <c r="A86" s="62" t="s">
        <v>127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4"/>
    </row>
    <row r="87" spans="1:33" ht="18.5" x14ac:dyDescent="0.45">
      <c r="A87" s="6"/>
      <c r="B87" s="68" t="s">
        <v>51</v>
      </c>
      <c r="C87" s="69"/>
      <c r="D87" s="69"/>
      <c r="E87" s="70"/>
      <c r="F87" s="68" t="s">
        <v>52</v>
      </c>
      <c r="G87" s="69"/>
      <c r="H87" s="69"/>
      <c r="I87" s="70"/>
      <c r="J87" s="68" t="s">
        <v>53</v>
      </c>
      <c r="K87" s="69"/>
      <c r="L87" s="69"/>
      <c r="M87" s="70"/>
      <c r="N87" s="68" t="s">
        <v>54</v>
      </c>
      <c r="O87" s="69"/>
      <c r="P87" s="69"/>
      <c r="Q87" s="70"/>
      <c r="R87" s="68" t="s">
        <v>55</v>
      </c>
      <c r="S87" s="69"/>
      <c r="T87" s="69"/>
      <c r="U87" s="70"/>
      <c r="V87" s="68" t="s">
        <v>56</v>
      </c>
      <c r="W87" s="69"/>
      <c r="X87" s="69"/>
      <c r="Y87" s="70"/>
      <c r="Z87" s="68" t="s">
        <v>57</v>
      </c>
      <c r="AA87" s="69"/>
      <c r="AB87" s="69"/>
      <c r="AC87" s="70"/>
      <c r="AD87" s="68" t="s">
        <v>42</v>
      </c>
      <c r="AE87" s="69"/>
      <c r="AF87" s="69"/>
      <c r="AG87" s="70"/>
    </row>
    <row r="88" spans="1:33" ht="15" thickBot="1" x14ac:dyDescent="0.4">
      <c r="A88" s="58" t="s">
        <v>32</v>
      </c>
      <c r="B88" s="7" t="s">
        <v>58</v>
      </c>
      <c r="C88" s="8" t="s">
        <v>59</v>
      </c>
      <c r="D88" s="8" t="s">
        <v>60</v>
      </c>
      <c r="E88" s="9" t="s">
        <v>61</v>
      </c>
      <c r="F88" s="7" t="s">
        <v>58</v>
      </c>
      <c r="G88" s="8" t="s">
        <v>59</v>
      </c>
      <c r="H88" s="8" t="s">
        <v>60</v>
      </c>
      <c r="I88" s="9" t="s">
        <v>61</v>
      </c>
      <c r="J88" s="7" t="s">
        <v>58</v>
      </c>
      <c r="K88" s="8" t="s">
        <v>59</v>
      </c>
      <c r="L88" s="8" t="s">
        <v>60</v>
      </c>
      <c r="M88" s="9" t="s">
        <v>61</v>
      </c>
      <c r="N88" s="7" t="s">
        <v>58</v>
      </c>
      <c r="O88" s="8" t="s">
        <v>59</v>
      </c>
      <c r="P88" s="8" t="s">
        <v>60</v>
      </c>
      <c r="Q88" s="9" t="s">
        <v>61</v>
      </c>
      <c r="R88" s="7" t="s">
        <v>58</v>
      </c>
      <c r="S88" s="8" t="s">
        <v>59</v>
      </c>
      <c r="T88" s="8" t="s">
        <v>60</v>
      </c>
      <c r="U88" s="9" t="s">
        <v>61</v>
      </c>
      <c r="V88" s="7" t="s">
        <v>58</v>
      </c>
      <c r="W88" s="8" t="s">
        <v>59</v>
      </c>
      <c r="X88" s="8" t="s">
        <v>60</v>
      </c>
      <c r="Y88" s="9" t="s">
        <v>61</v>
      </c>
      <c r="Z88" s="7" t="s">
        <v>58</v>
      </c>
      <c r="AA88" s="8" t="s">
        <v>59</v>
      </c>
      <c r="AB88" s="8" t="s">
        <v>60</v>
      </c>
      <c r="AC88" s="9" t="s">
        <v>61</v>
      </c>
      <c r="AD88" s="7" t="s">
        <v>58</v>
      </c>
      <c r="AE88" s="8" t="s">
        <v>59</v>
      </c>
      <c r="AF88" s="8" t="s">
        <v>60</v>
      </c>
      <c r="AG88" s="9" t="s">
        <v>61</v>
      </c>
    </row>
    <row r="89" spans="1:33" x14ac:dyDescent="0.35">
      <c r="A89" s="13" t="s">
        <v>128</v>
      </c>
      <c r="B89" s="19">
        <f>COUNTIFS('Input - Students'!$G$3:$G$50,"QLD")</f>
        <v>3</v>
      </c>
      <c r="C89" s="20">
        <f>IFERROR((AVERAGEIFS('Input - Students'!$F$3:$F$50,'Input - Students'!$G$3:$G$50,"QLD")),0)</f>
        <v>77459.199999999997</v>
      </c>
      <c r="D89" s="20">
        <f>IFERROR((_xlfn.MINIFS('Input - Students'!$F$3:$F$50,'Input - Students'!$G$3:$G$50,"QLD")),0)</f>
        <v>66393.599999999991</v>
      </c>
      <c r="E89" s="20">
        <f>IFERROR((_xlfn.MAXIFS('Input - Students'!$F$3:$F$50,'Input - Students'!$G$3:$G$50,"QLD")),0)</f>
        <v>88524.800000000003</v>
      </c>
      <c r="F89" s="29">
        <f>COUNTIFS('Input - Students'!$G$3:$G$50,"NSW")</f>
        <v>0</v>
      </c>
      <c r="G89" s="30">
        <f>IFERROR((AVERAGEIFS('Input - Students'!$F$3:$F$50,'Input - Students'!$G$3:$G$50,"NSW")),0)</f>
        <v>0</v>
      </c>
      <c r="H89" s="30">
        <f>IFERROR((_xlfn.MINIFS('Input - Students'!$F$3:$F$50,'Input - Students'!$G$3:$G$50,"NSW")),0)</f>
        <v>0</v>
      </c>
      <c r="I89" s="30">
        <f>IFERROR((_xlfn.MAXIFS('Input - Students'!$F$3:$F$50,'Input - Students'!$G$3:$G$50,"NSW")),0)</f>
        <v>0</v>
      </c>
      <c r="J89" s="19">
        <f>COUNTIFS('Input - Students'!$G$3:$G$50,"VIC")</f>
        <v>0</v>
      </c>
      <c r="K89" s="20">
        <f>IFERROR((AVERAGEIFS('Input - Students'!$F$3:$F$50,'Input - Students'!$G$3:$G$50,"VIC")),0)</f>
        <v>0</v>
      </c>
      <c r="L89" s="20">
        <f>IFERROR((_xlfn.MINIFS('Input - Students'!$F$3:$F$50,'Input - Students'!$G$3:$G$50,"VIC")),0)</f>
        <v>0</v>
      </c>
      <c r="M89" s="20">
        <f>IFERROR((_xlfn.MAXIFS('Input - Students'!$F$3:$F$50,'Input - Students'!$G$3:$G$50,"VIC")),0)</f>
        <v>0</v>
      </c>
      <c r="N89" s="29">
        <f>COUNTIFS('Input - Students'!$G$3:$G$50,"SA")</f>
        <v>0</v>
      </c>
      <c r="O89" s="30">
        <f>IFERROR((AVERAGEIFS('Input - Students'!$F$3:$F$50,'Input - Students'!$G$3:$G$50,"SA")),0)</f>
        <v>0</v>
      </c>
      <c r="P89" s="30">
        <f>IFERROR((_xlfn.MINIFS('Input - Students'!$F$3:$F$50,'Input - Students'!$G$3:$G$50,"SA")),0)</f>
        <v>0</v>
      </c>
      <c r="Q89" s="30">
        <f>IFERROR((_xlfn.MAXIFS('Input - Students'!$F$3:$F$50,'Input - Students'!$G$3:$G$50,"SA")),0)</f>
        <v>0</v>
      </c>
      <c r="R89" s="19">
        <f>COUNTIFS('Input - Students'!$G$3:$G$50,"WA")</f>
        <v>0</v>
      </c>
      <c r="S89" s="20">
        <f>IFERROR((AVERAGEIFS('Input - Students'!$F$3:$F$50,'Input - Students'!$G$3:$G$50,"WA")),0)</f>
        <v>0</v>
      </c>
      <c r="T89" s="20">
        <f>IFERROR((_xlfn.MINIFS('Input - Students'!$F$3:$F$50,'Input - Students'!$G$3:$G$50,"WA")),0)</f>
        <v>0</v>
      </c>
      <c r="U89" s="20">
        <f>IFERROR((_xlfn.MAXIFS('Input - Students'!$F$3:$F$50,'Input - Students'!$G$3:$G$50,"WA")),0)</f>
        <v>0</v>
      </c>
      <c r="V89" s="29">
        <f>COUNTIFS('Input - Students'!$G$3:$G$50,"TAS")</f>
        <v>0</v>
      </c>
      <c r="W89" s="30">
        <f>IFERROR((AVERAGEIFS('Input - Students'!$F$3:$F$50,'Input - Students'!$G$3:$G$50,"TAS")),0)</f>
        <v>0</v>
      </c>
      <c r="X89" s="30">
        <f>IFERROR((_xlfn.MINIFS('Input - Students'!$F$3:$F$50,'Input - Students'!$G$3:$G$50,"TAS")),0)</f>
        <v>0</v>
      </c>
      <c r="Y89" s="30">
        <f>IFERROR((_xlfn.MAXIFS('Input - Students'!$F$3:$F$50,'Input - Students'!$G$3:$G$50,"TAS")),0)</f>
        <v>0</v>
      </c>
      <c r="Z89" s="19">
        <f>COUNTIFS('Input - Students'!$G$3:$G$50,"NT")</f>
        <v>0</v>
      </c>
      <c r="AA89" s="20">
        <f>IFERROR((AVERAGEIFS('Input - Students'!$F$3:$F$50,'Input - Students'!$G$3:$G$50,"NT")),0)</f>
        <v>0</v>
      </c>
      <c r="AB89" s="20">
        <f>IFERROR((_xlfn.MINIFS('Input - Students'!$F$3:$F$50,'Input - Students'!$G$3:$G$50,"NT")),0)</f>
        <v>0</v>
      </c>
      <c r="AC89" s="20">
        <f>IFERROR((_xlfn.MAXIFS('Input - Students'!$F$3:$F$50,'Input - Students'!$G$3:$G$50,"NT")),0)</f>
        <v>0</v>
      </c>
      <c r="AD89" s="29">
        <f>COUNTIFS('Input - Students'!$G$3:$G$50,"ACT")</f>
        <v>0</v>
      </c>
      <c r="AE89" s="30">
        <f>IFERROR((AVERAGEIFS('Input - Students'!$F$3:$F$50,'Input - Students'!$G$3:$G$50,"ACT")),0)</f>
        <v>0</v>
      </c>
      <c r="AF89" s="30">
        <f>IFERROR((_xlfn.MINIFS('Input - Students'!$F$3:$F$50,'Input - Students'!$G$3:$G$50,"ACT")),0)</f>
        <v>0</v>
      </c>
      <c r="AG89" s="30">
        <f>IFERROR((_xlfn.MAXIFS('Input - Students'!$F$3:$F$50,'Input - Students'!$G$3:$G$50,"ACT")),0)</f>
        <v>0</v>
      </c>
    </row>
  </sheetData>
  <sheetProtection algorithmName="SHA-512" hashValue="wR3qur4MTSBTFGLKf6l2aXbtNAXnK1G8FtdJE4GsmLc1aIgpSLp5J0NEgUoS2UPJMGh1f3AZIFh2C7ltnxuPZQ==" saltValue="FBC1BAydyefrWJ4b0M/GPg==" spinCount="100000" sheet="1" selectLockedCells="1" selectUnlockedCells="1"/>
  <mergeCells count="45">
    <mergeCell ref="Z87:AC87"/>
    <mergeCell ref="B57:E57"/>
    <mergeCell ref="B87:E87"/>
    <mergeCell ref="F87:I87"/>
    <mergeCell ref="J87:M87"/>
    <mergeCell ref="N87:Q87"/>
    <mergeCell ref="F43:I43"/>
    <mergeCell ref="J43:M43"/>
    <mergeCell ref="N57:Q57"/>
    <mergeCell ref="R57:U57"/>
    <mergeCell ref="V57:Y57"/>
    <mergeCell ref="F57:I57"/>
    <mergeCell ref="J57:M57"/>
    <mergeCell ref="AD87:AG87"/>
    <mergeCell ref="V2:Y2"/>
    <mergeCell ref="Z2:AC2"/>
    <mergeCell ref="N25:Q25"/>
    <mergeCell ref="R25:U25"/>
    <mergeCell ref="V25:Y25"/>
    <mergeCell ref="Z25:AC25"/>
    <mergeCell ref="N2:Q2"/>
    <mergeCell ref="R2:U2"/>
    <mergeCell ref="N43:Q43"/>
    <mergeCell ref="R43:U43"/>
    <mergeCell ref="V43:Y43"/>
    <mergeCell ref="Z43:AC43"/>
    <mergeCell ref="Z57:AC57"/>
    <mergeCell ref="R87:U87"/>
    <mergeCell ref="V87:Y87"/>
    <mergeCell ref="A1:AG1"/>
    <mergeCell ref="A24:AG24"/>
    <mergeCell ref="A42:AG42"/>
    <mergeCell ref="A56:AG56"/>
    <mergeCell ref="A86:AG86"/>
    <mergeCell ref="AD2:AG2"/>
    <mergeCell ref="AD25:AG25"/>
    <mergeCell ref="AD43:AG43"/>
    <mergeCell ref="AD57:AG57"/>
    <mergeCell ref="B25:E25"/>
    <mergeCell ref="F25:I25"/>
    <mergeCell ref="J25:M25"/>
    <mergeCell ref="B2:E2"/>
    <mergeCell ref="F2:I2"/>
    <mergeCell ref="J2:M2"/>
    <mergeCell ref="B43:E4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B508-7C09-4E36-B93D-D764D2483FAC}">
  <dimension ref="A1:I34"/>
  <sheetViews>
    <sheetView tabSelected="1" workbookViewId="0">
      <selection activeCell="C5" sqref="C5"/>
    </sheetView>
  </sheetViews>
  <sheetFormatPr defaultColWidth="8.81640625" defaultRowHeight="14.5" x14ac:dyDescent="0.35"/>
  <cols>
    <col min="1" max="1" width="29.453125" customWidth="1"/>
    <col min="3" max="3" width="19.1796875" customWidth="1"/>
    <col min="5" max="5" width="23.453125" customWidth="1"/>
    <col min="7" max="7" width="41.1796875" customWidth="1"/>
    <col min="8" max="8" width="9.1796875" customWidth="1"/>
    <col min="9" max="9" width="32.453125" customWidth="1"/>
  </cols>
  <sheetData>
    <row r="1" spans="1:9" x14ac:dyDescent="0.35">
      <c r="A1" s="4" t="s">
        <v>129</v>
      </c>
    </row>
    <row r="2" spans="1:9" x14ac:dyDescent="0.35">
      <c r="A2" s="4"/>
    </row>
    <row r="3" spans="1:9" x14ac:dyDescent="0.35">
      <c r="A3" t="s">
        <v>130</v>
      </c>
      <c r="B3" s="28">
        <v>38</v>
      </c>
    </row>
    <row r="4" spans="1:9" x14ac:dyDescent="0.35">
      <c r="A4" t="s">
        <v>131</v>
      </c>
      <c r="B4" s="34">
        <v>0.12</v>
      </c>
    </row>
    <row r="7" spans="1:9" x14ac:dyDescent="0.35">
      <c r="A7" s="4" t="s">
        <v>26</v>
      </c>
      <c r="C7" s="4" t="s">
        <v>43</v>
      </c>
      <c r="E7" s="4" t="s">
        <v>46</v>
      </c>
      <c r="G7" s="4" t="s">
        <v>47</v>
      </c>
      <c r="I7" s="4" t="s">
        <v>132</v>
      </c>
    </row>
    <row r="8" spans="1:9" x14ac:dyDescent="0.35">
      <c r="A8" t="s">
        <v>41</v>
      </c>
      <c r="C8" t="s">
        <v>133</v>
      </c>
      <c r="E8" t="s">
        <v>134</v>
      </c>
      <c r="G8" t="s">
        <v>135</v>
      </c>
      <c r="I8" t="s">
        <v>128</v>
      </c>
    </row>
    <row r="9" spans="1:9" x14ac:dyDescent="0.35">
      <c r="A9" t="s">
        <v>136</v>
      </c>
      <c r="C9" t="s">
        <v>137</v>
      </c>
      <c r="E9" t="s">
        <v>138</v>
      </c>
      <c r="G9" t="s">
        <v>139</v>
      </c>
    </row>
    <row r="10" spans="1:9" x14ac:dyDescent="0.35">
      <c r="A10" t="s">
        <v>140</v>
      </c>
      <c r="C10" t="s">
        <v>45</v>
      </c>
      <c r="E10" t="s">
        <v>141</v>
      </c>
      <c r="G10" t="s">
        <v>142</v>
      </c>
    </row>
    <row r="11" spans="1:9" x14ac:dyDescent="0.35">
      <c r="A11" t="s">
        <v>143</v>
      </c>
      <c r="C11" t="s">
        <v>44</v>
      </c>
      <c r="E11" t="s">
        <v>144</v>
      </c>
      <c r="G11" t="s">
        <v>145</v>
      </c>
    </row>
    <row r="12" spans="1:9" x14ac:dyDescent="0.35">
      <c r="A12" t="s">
        <v>146</v>
      </c>
      <c r="C12" t="s">
        <v>147</v>
      </c>
      <c r="G12" t="s">
        <v>148</v>
      </c>
    </row>
    <row r="13" spans="1:9" x14ac:dyDescent="0.35">
      <c r="A13" t="s">
        <v>149</v>
      </c>
      <c r="C13" t="s">
        <v>150</v>
      </c>
      <c r="G13" t="s">
        <v>151</v>
      </c>
    </row>
    <row r="14" spans="1:9" x14ac:dyDescent="0.35">
      <c r="A14" t="s">
        <v>39</v>
      </c>
      <c r="G14" t="s">
        <v>152</v>
      </c>
    </row>
    <row r="15" spans="1:9" x14ac:dyDescent="0.35">
      <c r="A15" t="s">
        <v>153</v>
      </c>
      <c r="G15" t="s">
        <v>154</v>
      </c>
    </row>
    <row r="16" spans="1:9" x14ac:dyDescent="0.35">
      <c r="A16" t="s">
        <v>36</v>
      </c>
      <c r="G16" t="s">
        <v>155</v>
      </c>
    </row>
    <row r="17" spans="1:7" x14ac:dyDescent="0.35">
      <c r="G17" t="s">
        <v>156</v>
      </c>
    </row>
    <row r="18" spans="1:7" x14ac:dyDescent="0.35">
      <c r="G18" t="s">
        <v>157</v>
      </c>
    </row>
    <row r="19" spans="1:7" x14ac:dyDescent="0.35">
      <c r="G19" t="s">
        <v>158</v>
      </c>
    </row>
    <row r="21" spans="1:7" x14ac:dyDescent="0.35">
      <c r="A21" t="s">
        <v>37</v>
      </c>
    </row>
    <row r="22" spans="1:7" x14ac:dyDescent="0.35">
      <c r="A22" t="s">
        <v>40</v>
      </c>
    </row>
    <row r="27" spans="1:7" x14ac:dyDescent="0.35">
      <c r="A27" t="s">
        <v>38</v>
      </c>
    </row>
    <row r="28" spans="1:7" x14ac:dyDescent="0.35">
      <c r="A28" t="s">
        <v>159</v>
      </c>
    </row>
    <row r="29" spans="1:7" x14ac:dyDescent="0.35">
      <c r="A29" t="s">
        <v>160</v>
      </c>
    </row>
    <row r="30" spans="1:7" x14ac:dyDescent="0.35">
      <c r="A30" t="s">
        <v>161</v>
      </c>
    </row>
    <row r="31" spans="1:7" x14ac:dyDescent="0.35">
      <c r="A31" t="s">
        <v>162</v>
      </c>
    </row>
    <row r="32" spans="1:7" x14ac:dyDescent="0.35">
      <c r="A32" t="s">
        <v>163</v>
      </c>
    </row>
    <row r="33" spans="1:1" x14ac:dyDescent="0.35">
      <c r="A33" t="s">
        <v>164</v>
      </c>
    </row>
    <row r="34" spans="1:1" x14ac:dyDescent="0.35">
      <c r="A34" t="s">
        <v>42</v>
      </c>
    </row>
  </sheetData>
  <sheetProtection algorithmName="SHA-512" hashValue="vILgHC2MjGHKhkMt2AQ578KpbadeuUEfjhLSi0UGnL5lV3AMfK7RHr5kN0LOl9F1hm3lCDUhknAX/EQcaAAvwg==" saltValue="IJtuesW2rpH/dRusTwOWdw==" spinCount="100000" sheet="1" objects="1" scenarios="1"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97E61984E635418A94D38CCDE36C8E" ma:contentTypeVersion="11" ma:contentTypeDescription="Create a new document." ma:contentTypeScope="" ma:versionID="568fa0cafa72d571120d7cc737f00ecb">
  <xsd:schema xmlns:xsd="http://www.w3.org/2001/XMLSchema" xmlns:xs="http://www.w3.org/2001/XMLSchema" xmlns:p="http://schemas.microsoft.com/office/2006/metadata/properties" xmlns:ns2="6e772239-fd44-4d7a-ba97-a910b945fb5f" xmlns:ns3="b64ecf32-d110-4e90-8f28-a5bf6113c5a1" targetNamespace="http://schemas.microsoft.com/office/2006/metadata/properties" ma:root="true" ma:fieldsID="1e47cc6df28451a7c3e9eb6530837a9b" ns2:_="" ns3:_="">
    <xsd:import namespace="6e772239-fd44-4d7a-ba97-a910b945fb5f"/>
    <xsd:import namespace="b64ecf32-d110-4e90-8f28-a5bf6113c5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72239-fd44-4d7a-ba97-a910b945f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34605c-8c1c-4379-9c73-96e3ae21c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ecf32-d110-4e90-8f28-a5bf6113c5a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d3ade25-c3a6-44e9-9414-d3d2d7ebeb96}" ma:internalName="TaxCatchAll" ma:showField="CatchAllData" ma:web="b64ecf32-d110-4e90-8f28-a5bf6113c5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5 2 c 9 0 4 a 7 - 8 5 c 7 - 4 6 6 4 - b d b 5 - 4 d 5 3 7 5 5 a 1 e 9 b "   x m l n s = " h t t p : / / s c h e m a s . m i c r o s o f t . c o m / D a t a M a s h u p " > A A A A A D U E A A B Q S w M E F A A C A A g A Y V f 9 W m x 3 U 0 i l A A A A 9 w A A A B I A H A B D b 2 5 m a W c v U G F j a 2 F n Z S 5 4 b W w g o h g A K K A U A A A A A A A A A A A A A A A A A A A A A A A A A A A A h Y 9 B D o I w F E S v Q r q n L V W j I Z 8 S 4 1 Y S E 6 N x 2 5 Q K j V A M L Z a 7 u f B I X k G M o u 5 c z p u 3 m L l f b 5 D 2 d R V c V G t 1 Y x I U Y Y o C Z W S T a 1 M k q H P H c I F S D h s h T 6 J Q w S A b G / c 2 T 1 D p 3 D k m x H u P / Q Q 3 b U E Y p R E 5 Z O u t L F U t 0 E f W / + V Q G + u E k Q p x 2 L / G c I a j 6 Q x H l M 0 x B T J S y L T 5 G m w Y / G x / I K y 6 y n W t 4 s q E y x 2 Q M Q J 5 n + A P U E s D B B Q A A g A I A G F X /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V / 1 a 7 q q f o i 4 B A A C c A g A A E w A c A E Z v c m 1 1 b G F z L 1 N l Y 3 R p b 2 4 x L m 0 g o h g A K K A U A A A A A A A A A A A A A A A A A A A A A A A A A A A A n Z F B S 8 N A E I X v g f y H Y b 0 k E A r V q q D k U F K F I n h J x U N T Z N u O N m S z G 2 Z 3 J S H 0 v 7 t p W u 2 h F X E v C 2 + + f f N m V u P K 5 E p C 2 t / D e 9 / z P b 3 h h G u Y 8 a X A E c Q g 0 P g e u J M q S y t 0 y k O 9 Q j F I L B F K 8 6 q o W C p V B G E 7 f + Y l x q x / y R b b e a K k c c g i 6 g 0 u W L L h 8 q M z b y p k z m m H D m b E p X 5 X V C Z K 2 F J 2 R R 3 0 3 a K 2 Z b 0 6 Z B E Y V w G D t d l u Q 9 / L 5 U n b 4 y E m 3 P B f R v j O / p i 7 G P u 0 O m D J X f a i k X R W I F F e Z h P U h V F V N k 7 G k H L B q Y H U 0 i c 2 M J W V N Z B u E M 2 g F r p m Y Q T S C u G y k s V w P 3 g X 4 2 0 H u d Z 9 h n Y + N V j G r C u x 6 C m X 6 5 j t i G 5 v n f i v p f 0 0 O r e 4 C A 7 6 5 U H n s j m S r 8 7 g o 9 P 4 9 R n 8 5 j R + + + d f / A J Q S w E C L Q A U A A I A C A B h V / 1 a b H d T S K U A A A D 3 A A A A E g A A A A A A A A A A A A A A A A A A A A A A Q 2 9 u Z m l n L 1 B h Y 2 t h Z 2 U u e G 1 s U E s B A i 0 A F A A C A A g A Y V f 9 W g / K 6 a u k A A A A 6 Q A A A B M A A A A A A A A A A A A A A A A A 8 Q A A A F t D b 2 5 0 Z W 5 0 X 1 R 5 c G V z X S 5 4 b W x Q S w E C L Q A U A A I A C A B h V / 1 a 7 q q f o i 4 B A A C c A g A A E w A A A A A A A A A A A A A A A A D i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g D A A A A A A A A H 4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C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0 L 0 N o Y W 5 n Z W Q g V H l w Z S 5 7 Q 2 9 s d W 1 u M S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1 0 i I C 8 + P E V u d H J 5 I F R 5 c G U 9 I k Z p b G x D b 2 x 1 b W 5 U e X B l c y I g V m F s d W U 9 I n N C Z z 0 9 I i A v P j x F b n R y e S B U e X B l P S J G a W x s T G F z d F V w Z G F 0 Z W Q i I F Z h b H V l P S J k M j A y M S 0 w N C 0 w M l Q w N D o w O D o x N S 4 0 M D Y z N z E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S I g L z 4 8 R W 5 0 c n k g V H l w Z T 0 i Q W R k Z W R U b 0 R h d G F N b 2 R l b C I g V m F s d W U 9 I m w w I i A v P j x F b n R y e S B U e X B l P S J R d W V y e U l E I i B W Y W x 1 Z T 0 i c z c y N 2 Z j Y T E 1 L T I 5 M 2 I t N G Q 5 M y 1 h Z D Y 2 L T A 3 M T Z m O T I 5 M j g y M i I g L z 4 8 L 1 N 0 Y W J s Z U V u d H J p Z X M + P C 9 J d G V t P j x J d G V t P j x J d G V t T G 9 j Y X R p b 2 4 + P E l 0 Z W 1 U e X B l P k Z v c m 1 1 b G E 8 L 0 l 0 Z W 1 U e X B l P j x J d G V t U G F 0 a D 5 T Z W N 0 a W 9 u M S 9 U Y W J s Z T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I t M j l U M D Y 6 M D g 6 N D k u N T E z M z U z O V o i I C 8 + P E V u d H J 5 I F R 5 c G U 9 I k Z p b G x T d G F 0 d X M i I F Z h b H V l P S J z Q 2 9 t c G x l d G U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E Y X R h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o Y 4 O M x v O J T L u B Z L / g G O J g A A A A A A I A A A A A A B B m A A A A A Q A A I A A A A D t b c 0 H 5 Y Y 6 7 9 C W 0 u A q y y 2 g o l 1 P x R 5 G N Q F / D 2 O k q x s Z e A A A A A A 6 A A A A A A g A A I A A A A H 4 C q V d 7 / L D r U z O I Z j I O k p a 4 e p 2 d c C c c B s k D C T 0 v 3 p 0 T U A A A A E L e l g H Y w u N n T L h s a T X w 3 t F b W m e q m s D x u 9 l P 8 E W i J r m d 3 R R X C U F K B L o t T E 3 8 q G 2 I D S 9 5 / 7 V 6 / R x g N N c H s Z W y U p 8 + 8 g A + z L 6 1 D t l P y R 5 H z + 3 I Q A A A A O N 8 0 c e 4 x d i K L h 1 f j E / P 6 x 5 r j T a a D e V M a h W V V i 0 n V K j / n v / g s x g U q U + U W E d x U 8 O s 4 S q y P E a Q E g U 7 F v U g K 4 6 G P t I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772239-fd44-4d7a-ba97-a910b945fb5f">
      <Terms xmlns="http://schemas.microsoft.com/office/infopath/2007/PartnerControls"/>
    </lcf76f155ced4ddcb4097134ff3c332f>
    <TaxCatchAll xmlns="b64ecf32-d110-4e90-8f28-a5bf6113c5a1" xsi:nil="true"/>
  </documentManagement>
</p:properties>
</file>

<file path=customXml/itemProps1.xml><?xml version="1.0" encoding="utf-8"?>
<ds:datastoreItem xmlns:ds="http://schemas.openxmlformats.org/officeDocument/2006/customXml" ds:itemID="{8564A343-386A-4C86-B151-98289C42E6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2A2790-7FEC-4BA4-A457-0E000F393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72239-fd44-4d7a-ba97-a910b945fb5f"/>
    <ds:schemaRef ds:uri="b64ecf32-d110-4e90-8f28-a5bf6113c5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65DBD0-255C-4059-8031-6EE5E9643E4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68939BE9-FAD3-406B-9B43-628774BB8741}">
  <ds:schemaRefs>
    <ds:schemaRef ds:uri="http://schemas.microsoft.com/office/2006/metadata/properties"/>
    <ds:schemaRef ds:uri="http://schemas.microsoft.com/office/infopath/2007/PartnerControls"/>
    <ds:schemaRef ds:uri="6e772239-fd44-4d7a-ba97-a910b945fb5f"/>
    <ds:schemaRef ds:uri="b64ecf32-d110-4e90-8f28-a5bf6113c5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Input - Architecture</vt:lpstr>
      <vt:lpstr>Input - Technical</vt:lpstr>
      <vt:lpstr>Input - Interior Design</vt:lpstr>
      <vt:lpstr>Input - Admin &amp; Management</vt:lpstr>
      <vt:lpstr>Input - Students</vt:lpstr>
      <vt:lpstr>SURVEY INPUT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 Salary Survey Input Sheet</dc:title>
  <dc:subject/>
  <dc:creator>kerrim</dc:creator>
  <cp:keywords/>
  <dc:description/>
  <cp:lastModifiedBy>Angelina Pillai</cp:lastModifiedBy>
  <cp:revision/>
  <dcterms:created xsi:type="dcterms:W3CDTF">2021-04-02T02:33:30Z</dcterms:created>
  <dcterms:modified xsi:type="dcterms:W3CDTF">2025-07-29T03:23:14Z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0x010100D697E61984E635418A94D38CCDE36C8E</vt:lpwstr>
  </property>
  <property fmtid="{D5CDD505-2E9C-101B-9397-08002B2CF9AE}" pid="3" name="MediaServiceImageTags">
    <vt:lpwstr/>
  </property>
</Properties>
</file>